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913"/>
  <workbookPr showInkAnnotation="0" autoCompressPictures="0"/>
  <bookViews>
    <workbookView xWindow="160" yWindow="0" windowWidth="25600" windowHeight="19820" activeTab="1"/>
  </bookViews>
  <sheets>
    <sheet name="convers.+compens." sheetId="1" r:id="rId1"/>
    <sheet name="Recalculate Fibox values" sheetId="2" r:id="rId2"/>
    <sheet name="Tabelle3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44" i="2" l="1"/>
  <c r="Q45" i="2"/>
  <c r="Q46" i="2"/>
  <c r="P21" i="2"/>
  <c r="Q21" i="2"/>
  <c r="R21" i="2"/>
  <c r="S21" i="2"/>
  <c r="D15" i="2"/>
  <c r="D13" i="2"/>
  <c r="F14" i="2"/>
  <c r="F13" i="2"/>
  <c r="F15" i="2"/>
  <c r="J16" i="2"/>
  <c r="B45" i="1"/>
  <c r="B34" i="1"/>
  <c r="B32" i="1"/>
  <c r="B33" i="1"/>
  <c r="B31" i="1"/>
  <c r="B38" i="1"/>
  <c r="B39" i="1"/>
  <c r="B40" i="1"/>
  <c r="B35" i="1"/>
  <c r="B36" i="1"/>
  <c r="D16" i="2"/>
  <c r="D14" i="2"/>
  <c r="J15" i="2"/>
  <c r="B44" i="1"/>
  <c r="B43" i="1"/>
  <c r="B42" i="1"/>
  <c r="B18" i="1"/>
  <c r="H13" i="2"/>
  <c r="B22" i="1"/>
  <c r="B20" i="1"/>
  <c r="B21" i="1"/>
  <c r="B19" i="1"/>
  <c r="I102" i="2"/>
  <c r="I84" i="2"/>
  <c r="I86" i="2"/>
  <c r="I88" i="2"/>
  <c r="I90" i="2"/>
  <c r="I103" i="2"/>
  <c r="I105" i="2"/>
  <c r="I107" i="2"/>
  <c r="I109" i="2"/>
  <c r="I111" i="2"/>
  <c r="I113" i="2"/>
  <c r="I115" i="2"/>
  <c r="I117" i="2"/>
  <c r="I119" i="2"/>
  <c r="I121" i="2"/>
  <c r="I123" i="2"/>
  <c r="I125" i="2"/>
  <c r="I127" i="2"/>
  <c r="I129" i="2"/>
  <c r="I131" i="2"/>
  <c r="I133" i="2"/>
  <c r="I135" i="2"/>
  <c r="I137" i="2"/>
  <c r="I139" i="2"/>
  <c r="I140" i="2"/>
  <c r="I147" i="2"/>
  <c r="I148" i="2"/>
  <c r="I89" i="2"/>
  <c r="I92" i="2"/>
  <c r="I94" i="2"/>
  <c r="I96" i="2"/>
  <c r="I98" i="2"/>
  <c r="I100" i="2"/>
  <c r="I43" i="2"/>
  <c r="I45" i="2"/>
  <c r="I47" i="2"/>
  <c r="I49" i="2"/>
  <c r="I51" i="2"/>
  <c r="I53" i="2"/>
  <c r="I108" i="2"/>
  <c r="I116" i="2"/>
  <c r="I124" i="2"/>
  <c r="I132" i="2"/>
  <c r="I143" i="2"/>
  <c r="I149" i="2"/>
  <c r="I87" i="2"/>
  <c r="I95" i="2"/>
  <c r="I44" i="2"/>
  <c r="I52" i="2"/>
  <c r="I110" i="2"/>
  <c r="I118" i="2"/>
  <c r="I126" i="2"/>
  <c r="I134" i="2"/>
  <c r="I141" i="2"/>
  <c r="I144" i="2"/>
  <c r="I145" i="2"/>
  <c r="I150" i="2"/>
  <c r="I93" i="2"/>
  <c r="I101" i="2"/>
  <c r="I50" i="2"/>
  <c r="I55" i="2"/>
  <c r="I57" i="2"/>
  <c r="I59" i="2"/>
  <c r="I61" i="2"/>
  <c r="I63" i="2"/>
  <c r="I65" i="2"/>
  <c r="I67" i="2"/>
  <c r="I69" i="2"/>
  <c r="I71" i="2"/>
  <c r="I73" i="2"/>
  <c r="I114" i="2"/>
  <c r="I130" i="2"/>
  <c r="I85" i="2"/>
  <c r="I97" i="2"/>
  <c r="I54" i="2"/>
  <c r="I58" i="2"/>
  <c r="I62" i="2"/>
  <c r="I66" i="2"/>
  <c r="I70" i="2"/>
  <c r="I74" i="2"/>
  <c r="I75" i="2"/>
  <c r="I76" i="2"/>
  <c r="I83" i="2"/>
  <c r="I37" i="2"/>
  <c r="I23" i="2"/>
  <c r="I24" i="2"/>
  <c r="I31" i="2"/>
  <c r="I32" i="2"/>
  <c r="I104" i="2"/>
  <c r="I120" i="2"/>
  <c r="I136" i="2"/>
  <c r="I106" i="2"/>
  <c r="I122" i="2"/>
  <c r="I138" i="2"/>
  <c r="I142" i="2"/>
  <c r="I46" i="2"/>
  <c r="I56" i="2"/>
  <c r="I60" i="2"/>
  <c r="I64" i="2"/>
  <c r="I68" i="2"/>
  <c r="I72" i="2"/>
  <c r="I79" i="2"/>
  <c r="I80" i="2"/>
  <c r="I40" i="2"/>
  <c r="I41" i="2"/>
  <c r="I27" i="2"/>
  <c r="I28" i="2"/>
  <c r="I35" i="2"/>
  <c r="I36" i="2"/>
  <c r="H14" i="2"/>
  <c r="I112" i="2"/>
  <c r="I128" i="2"/>
  <c r="I91" i="2"/>
  <c r="I48" i="2"/>
  <c r="I81" i="2"/>
  <c r="I82" i="2"/>
  <c r="I42" i="2"/>
  <c r="I22" i="2"/>
  <c r="I29" i="2"/>
  <c r="I30" i="2"/>
  <c r="I21" i="2"/>
  <c r="I146" i="2"/>
  <c r="I38" i="2"/>
  <c r="I99" i="2"/>
  <c r="I39" i="2"/>
  <c r="I25" i="2"/>
  <c r="I26" i="2"/>
  <c r="I33" i="2"/>
  <c r="I77" i="2"/>
  <c r="I34" i="2"/>
  <c r="I78" i="2"/>
  <c r="M26" i="2"/>
  <c r="N26" i="2"/>
  <c r="J26" i="2"/>
  <c r="K26" i="2"/>
  <c r="L26" i="2"/>
  <c r="J77" i="2"/>
  <c r="M77" i="2"/>
  <c r="N77" i="2"/>
  <c r="K77" i="2"/>
  <c r="L77" i="2"/>
  <c r="M39" i="2"/>
  <c r="N39" i="2"/>
  <c r="J39" i="2"/>
  <c r="K39" i="2"/>
  <c r="L39" i="2"/>
  <c r="M21" i="2"/>
  <c r="N21" i="2"/>
  <c r="K21" i="2"/>
  <c r="L21" i="2"/>
  <c r="J21" i="2"/>
  <c r="J42" i="2"/>
  <c r="K42" i="2"/>
  <c r="L42" i="2"/>
  <c r="M42" i="2"/>
  <c r="N42" i="2"/>
  <c r="K91" i="2"/>
  <c r="L91" i="2"/>
  <c r="J91" i="2"/>
  <c r="M91" i="2"/>
  <c r="N91" i="2"/>
  <c r="K36" i="2"/>
  <c r="L36" i="2"/>
  <c r="J36" i="2"/>
  <c r="M36" i="2"/>
  <c r="N36" i="2"/>
  <c r="K41" i="2"/>
  <c r="L41" i="2"/>
  <c r="J41" i="2"/>
  <c r="M41" i="2"/>
  <c r="N41" i="2"/>
  <c r="K72" i="2"/>
  <c r="L72" i="2"/>
  <c r="M72" i="2"/>
  <c r="N72" i="2"/>
  <c r="J72" i="2"/>
  <c r="K56" i="2"/>
  <c r="L56" i="2"/>
  <c r="M56" i="2"/>
  <c r="N56" i="2"/>
  <c r="J56" i="2"/>
  <c r="K122" i="2"/>
  <c r="L122" i="2"/>
  <c r="J122" i="2"/>
  <c r="M122" i="2"/>
  <c r="N122" i="2"/>
  <c r="K104" i="2"/>
  <c r="L104" i="2"/>
  <c r="J104" i="2"/>
  <c r="M104" i="2"/>
  <c r="N104" i="2"/>
  <c r="J23" i="2"/>
  <c r="M23" i="2"/>
  <c r="N23" i="2"/>
  <c r="K23" i="2"/>
  <c r="L23" i="2"/>
  <c r="J75" i="2"/>
  <c r="M75" i="2"/>
  <c r="N75" i="2"/>
  <c r="K75" i="2"/>
  <c r="L75" i="2"/>
  <c r="K62" i="2"/>
  <c r="L62" i="2"/>
  <c r="M62" i="2"/>
  <c r="N62" i="2"/>
  <c r="J62" i="2"/>
  <c r="K85" i="2"/>
  <c r="L85" i="2"/>
  <c r="M85" i="2"/>
  <c r="N85" i="2"/>
  <c r="J85" i="2"/>
  <c r="J71" i="2"/>
  <c r="M71" i="2"/>
  <c r="N71" i="2"/>
  <c r="K71" i="2"/>
  <c r="L71" i="2"/>
  <c r="J63" i="2"/>
  <c r="M63" i="2"/>
  <c r="N63" i="2"/>
  <c r="K63" i="2"/>
  <c r="L63" i="2"/>
  <c r="J55" i="2"/>
  <c r="M55" i="2"/>
  <c r="N55" i="2"/>
  <c r="K55" i="2"/>
  <c r="L55" i="2"/>
  <c r="M150" i="2"/>
  <c r="N150" i="2"/>
  <c r="J150" i="2"/>
  <c r="K150" i="2"/>
  <c r="L150" i="2"/>
  <c r="K134" i="2"/>
  <c r="L134" i="2"/>
  <c r="J134" i="2"/>
  <c r="M134" i="2"/>
  <c r="N134" i="2"/>
  <c r="K52" i="2"/>
  <c r="L52" i="2"/>
  <c r="M52" i="2"/>
  <c r="N52" i="2"/>
  <c r="J52" i="2"/>
  <c r="J149" i="2"/>
  <c r="M149" i="2"/>
  <c r="N149" i="2"/>
  <c r="K149" i="2"/>
  <c r="L149" i="2"/>
  <c r="K116" i="2"/>
  <c r="L116" i="2"/>
  <c r="J116" i="2"/>
  <c r="M116" i="2"/>
  <c r="N116" i="2"/>
  <c r="M49" i="2"/>
  <c r="N49" i="2"/>
  <c r="K49" i="2"/>
  <c r="L49" i="2"/>
  <c r="J49" i="2"/>
  <c r="M100" i="2"/>
  <c r="N100" i="2"/>
  <c r="K100" i="2"/>
  <c r="L100" i="2"/>
  <c r="J100" i="2"/>
  <c r="M92" i="2"/>
  <c r="N92" i="2"/>
  <c r="K92" i="2"/>
  <c r="L92" i="2"/>
  <c r="J92" i="2"/>
  <c r="K140" i="2"/>
  <c r="L140" i="2"/>
  <c r="J140" i="2"/>
  <c r="M140" i="2"/>
  <c r="N140" i="2"/>
  <c r="J133" i="2"/>
  <c r="M133" i="2"/>
  <c r="N133" i="2"/>
  <c r="K133" i="2"/>
  <c r="L133" i="2"/>
  <c r="J125" i="2"/>
  <c r="M125" i="2"/>
  <c r="N125" i="2"/>
  <c r="K125" i="2"/>
  <c r="L125" i="2"/>
  <c r="J117" i="2"/>
  <c r="M117" i="2"/>
  <c r="N117" i="2"/>
  <c r="K117" i="2"/>
  <c r="L117" i="2"/>
  <c r="J109" i="2"/>
  <c r="M109" i="2"/>
  <c r="N109" i="2"/>
  <c r="K109" i="2"/>
  <c r="L109" i="2"/>
  <c r="M90" i="2"/>
  <c r="N90" i="2"/>
  <c r="K90" i="2"/>
  <c r="L90" i="2"/>
  <c r="J90" i="2"/>
  <c r="J102" i="2"/>
  <c r="M102" i="2"/>
  <c r="N102" i="2"/>
  <c r="K102" i="2"/>
  <c r="L102" i="2"/>
  <c r="J33" i="2"/>
  <c r="M33" i="2"/>
  <c r="N33" i="2"/>
  <c r="K33" i="2"/>
  <c r="L33" i="2"/>
  <c r="K99" i="2"/>
  <c r="L99" i="2"/>
  <c r="J99" i="2"/>
  <c r="M99" i="2"/>
  <c r="N99" i="2"/>
  <c r="J30" i="2"/>
  <c r="M30" i="2"/>
  <c r="N30" i="2"/>
  <c r="K30" i="2"/>
  <c r="L30" i="2"/>
  <c r="J82" i="2"/>
  <c r="M82" i="2"/>
  <c r="N82" i="2"/>
  <c r="K82" i="2"/>
  <c r="L82" i="2"/>
  <c r="K128" i="2"/>
  <c r="L128" i="2"/>
  <c r="J128" i="2"/>
  <c r="M128" i="2"/>
  <c r="N128" i="2"/>
  <c r="J35" i="2"/>
  <c r="K35" i="2"/>
  <c r="L35" i="2"/>
  <c r="M35" i="2"/>
  <c r="N35" i="2"/>
  <c r="J40" i="2"/>
  <c r="K40" i="2"/>
  <c r="L40" i="2"/>
  <c r="M40" i="2"/>
  <c r="N40" i="2"/>
  <c r="K68" i="2"/>
  <c r="L68" i="2"/>
  <c r="M68" i="2"/>
  <c r="N68" i="2"/>
  <c r="J68" i="2"/>
  <c r="K46" i="2"/>
  <c r="L46" i="2"/>
  <c r="M46" i="2"/>
  <c r="N46" i="2"/>
  <c r="J46" i="2"/>
  <c r="K106" i="2"/>
  <c r="L106" i="2"/>
  <c r="J106" i="2"/>
  <c r="M106" i="2"/>
  <c r="N106" i="2"/>
  <c r="K32" i="2"/>
  <c r="L32" i="2"/>
  <c r="M32" i="2"/>
  <c r="N32" i="2"/>
  <c r="J32" i="2"/>
  <c r="K37" i="2"/>
  <c r="L37" i="2"/>
  <c r="M37" i="2"/>
  <c r="N37" i="2"/>
  <c r="J37" i="2"/>
  <c r="K74" i="2"/>
  <c r="L74" i="2"/>
  <c r="M74" i="2"/>
  <c r="N74" i="2"/>
  <c r="J74" i="2"/>
  <c r="K58" i="2"/>
  <c r="L58" i="2"/>
  <c r="M58" i="2"/>
  <c r="N58" i="2"/>
  <c r="J58" i="2"/>
  <c r="K130" i="2"/>
  <c r="L130" i="2"/>
  <c r="J130" i="2"/>
  <c r="M130" i="2"/>
  <c r="N130" i="2"/>
  <c r="J69" i="2"/>
  <c r="M69" i="2"/>
  <c r="N69" i="2"/>
  <c r="K69" i="2"/>
  <c r="L69" i="2"/>
  <c r="J61" i="2"/>
  <c r="M61" i="2"/>
  <c r="N61" i="2"/>
  <c r="K61" i="2"/>
  <c r="L61" i="2"/>
  <c r="K50" i="2"/>
  <c r="L50" i="2"/>
  <c r="J50" i="2"/>
  <c r="M50" i="2"/>
  <c r="N50" i="2"/>
  <c r="J145" i="2"/>
  <c r="K145" i="2"/>
  <c r="L145" i="2"/>
  <c r="M145" i="2"/>
  <c r="N145" i="2"/>
  <c r="K126" i="2"/>
  <c r="L126" i="2"/>
  <c r="J126" i="2"/>
  <c r="M126" i="2"/>
  <c r="N126" i="2"/>
  <c r="K44" i="2"/>
  <c r="L44" i="2"/>
  <c r="M44" i="2"/>
  <c r="N44" i="2"/>
  <c r="J44" i="2"/>
  <c r="J143" i="2"/>
  <c r="K143" i="2"/>
  <c r="L143" i="2"/>
  <c r="M143" i="2"/>
  <c r="N143" i="2"/>
  <c r="K108" i="2"/>
  <c r="L108" i="2"/>
  <c r="J108" i="2"/>
  <c r="M108" i="2"/>
  <c r="N108" i="2"/>
  <c r="M47" i="2"/>
  <c r="N47" i="2"/>
  <c r="K47" i="2"/>
  <c r="L47" i="2"/>
  <c r="J47" i="2"/>
  <c r="M98" i="2"/>
  <c r="N98" i="2"/>
  <c r="K98" i="2"/>
  <c r="L98" i="2"/>
  <c r="J98" i="2"/>
  <c r="K89" i="2"/>
  <c r="L89" i="2"/>
  <c r="J89" i="2"/>
  <c r="M89" i="2"/>
  <c r="N89" i="2"/>
  <c r="J139" i="2"/>
  <c r="M139" i="2"/>
  <c r="N139" i="2"/>
  <c r="K139" i="2"/>
  <c r="L139" i="2"/>
  <c r="J131" i="2"/>
  <c r="M131" i="2"/>
  <c r="N131" i="2"/>
  <c r="K131" i="2"/>
  <c r="L131" i="2"/>
  <c r="J123" i="2"/>
  <c r="M123" i="2"/>
  <c r="N123" i="2"/>
  <c r="K123" i="2"/>
  <c r="L123" i="2"/>
  <c r="J115" i="2"/>
  <c r="M115" i="2"/>
  <c r="N115" i="2"/>
  <c r="K115" i="2"/>
  <c r="L115" i="2"/>
  <c r="J107" i="2"/>
  <c r="M107" i="2"/>
  <c r="N107" i="2"/>
  <c r="K107" i="2"/>
  <c r="L107" i="2"/>
  <c r="M88" i="2"/>
  <c r="N88" i="2"/>
  <c r="J88" i="2"/>
  <c r="K88" i="2"/>
  <c r="L88" i="2"/>
  <c r="M78" i="2"/>
  <c r="N78" i="2"/>
  <c r="J78" i="2"/>
  <c r="K78" i="2"/>
  <c r="L78" i="2"/>
  <c r="J38" i="2"/>
  <c r="M38" i="2"/>
  <c r="N38" i="2"/>
  <c r="K38" i="2"/>
  <c r="L38" i="2"/>
  <c r="J29" i="2"/>
  <c r="K29" i="2"/>
  <c r="L29" i="2"/>
  <c r="M29" i="2"/>
  <c r="N29" i="2"/>
  <c r="J81" i="2"/>
  <c r="K81" i="2"/>
  <c r="L81" i="2"/>
  <c r="M81" i="2"/>
  <c r="N81" i="2"/>
  <c r="K112" i="2"/>
  <c r="L112" i="2"/>
  <c r="J112" i="2"/>
  <c r="M112" i="2"/>
  <c r="N112" i="2"/>
  <c r="K28" i="2"/>
  <c r="L28" i="2"/>
  <c r="J28" i="2"/>
  <c r="M28" i="2"/>
  <c r="N28" i="2"/>
  <c r="K80" i="2"/>
  <c r="L80" i="2"/>
  <c r="J80" i="2"/>
  <c r="M80" i="2"/>
  <c r="N80" i="2"/>
  <c r="K64" i="2"/>
  <c r="L64" i="2"/>
  <c r="M64" i="2"/>
  <c r="N64" i="2"/>
  <c r="J64" i="2"/>
  <c r="J142" i="2"/>
  <c r="M142" i="2"/>
  <c r="N142" i="2"/>
  <c r="K142" i="2"/>
  <c r="L142" i="2"/>
  <c r="K136" i="2"/>
  <c r="L136" i="2"/>
  <c r="J136" i="2"/>
  <c r="M136" i="2"/>
  <c r="N136" i="2"/>
  <c r="J31" i="2"/>
  <c r="M31" i="2"/>
  <c r="N31" i="2"/>
  <c r="K31" i="2"/>
  <c r="L31" i="2"/>
  <c r="J83" i="2"/>
  <c r="M83" i="2"/>
  <c r="N83" i="2"/>
  <c r="K83" i="2"/>
  <c r="L83" i="2"/>
  <c r="K70" i="2"/>
  <c r="L70" i="2"/>
  <c r="M70" i="2"/>
  <c r="N70" i="2"/>
  <c r="J70" i="2"/>
  <c r="K54" i="2"/>
  <c r="L54" i="2"/>
  <c r="M54" i="2"/>
  <c r="N54" i="2"/>
  <c r="J54" i="2"/>
  <c r="K114" i="2"/>
  <c r="L114" i="2"/>
  <c r="J114" i="2"/>
  <c r="M114" i="2"/>
  <c r="N114" i="2"/>
  <c r="J67" i="2"/>
  <c r="M67" i="2"/>
  <c r="N67" i="2"/>
  <c r="K67" i="2"/>
  <c r="L67" i="2"/>
  <c r="J59" i="2"/>
  <c r="M59" i="2"/>
  <c r="N59" i="2"/>
  <c r="K59" i="2"/>
  <c r="L59" i="2"/>
  <c r="K101" i="2"/>
  <c r="L101" i="2"/>
  <c r="J101" i="2"/>
  <c r="M101" i="2"/>
  <c r="N101" i="2"/>
  <c r="K144" i="2"/>
  <c r="L144" i="2"/>
  <c r="J144" i="2"/>
  <c r="M144" i="2"/>
  <c r="N144" i="2"/>
  <c r="K118" i="2"/>
  <c r="L118" i="2"/>
  <c r="J118" i="2"/>
  <c r="M118" i="2"/>
  <c r="N118" i="2"/>
  <c r="K95" i="2"/>
  <c r="L95" i="2"/>
  <c r="M95" i="2"/>
  <c r="N95" i="2"/>
  <c r="J95" i="2"/>
  <c r="K132" i="2"/>
  <c r="L132" i="2"/>
  <c r="J132" i="2"/>
  <c r="M132" i="2"/>
  <c r="N132" i="2"/>
  <c r="M53" i="2"/>
  <c r="N53" i="2"/>
  <c r="J53" i="2"/>
  <c r="K53" i="2"/>
  <c r="L53" i="2"/>
  <c r="M45" i="2"/>
  <c r="N45" i="2"/>
  <c r="J45" i="2"/>
  <c r="K45" i="2"/>
  <c r="L45" i="2"/>
  <c r="M96" i="2"/>
  <c r="N96" i="2"/>
  <c r="J96" i="2"/>
  <c r="K96" i="2"/>
  <c r="L96" i="2"/>
  <c r="M148" i="2"/>
  <c r="N148" i="2"/>
  <c r="J148" i="2"/>
  <c r="K148" i="2"/>
  <c r="L148" i="2"/>
  <c r="J137" i="2"/>
  <c r="M137" i="2"/>
  <c r="N137" i="2"/>
  <c r="K137" i="2"/>
  <c r="L137" i="2"/>
  <c r="J129" i="2"/>
  <c r="M129" i="2"/>
  <c r="N129" i="2"/>
  <c r="K129" i="2"/>
  <c r="L129" i="2"/>
  <c r="J121" i="2"/>
  <c r="M121" i="2"/>
  <c r="N121" i="2"/>
  <c r="K121" i="2"/>
  <c r="L121" i="2"/>
  <c r="J113" i="2"/>
  <c r="M113" i="2"/>
  <c r="N113" i="2"/>
  <c r="K113" i="2"/>
  <c r="L113" i="2"/>
  <c r="J105" i="2"/>
  <c r="M105" i="2"/>
  <c r="N105" i="2"/>
  <c r="K105" i="2"/>
  <c r="L105" i="2"/>
  <c r="M86" i="2"/>
  <c r="N86" i="2"/>
  <c r="K86" i="2"/>
  <c r="L86" i="2"/>
  <c r="J86" i="2"/>
  <c r="M34" i="2"/>
  <c r="N34" i="2"/>
  <c r="J34" i="2"/>
  <c r="K34" i="2"/>
  <c r="L34" i="2"/>
  <c r="J25" i="2"/>
  <c r="M25" i="2"/>
  <c r="N25" i="2"/>
  <c r="K25" i="2"/>
  <c r="L25" i="2"/>
  <c r="J146" i="2"/>
  <c r="M146" i="2"/>
  <c r="N146" i="2"/>
  <c r="K146" i="2"/>
  <c r="L146" i="2"/>
  <c r="J22" i="2"/>
  <c r="M22" i="2"/>
  <c r="N22" i="2"/>
  <c r="K22" i="2"/>
  <c r="L22" i="2"/>
  <c r="K48" i="2"/>
  <c r="L48" i="2"/>
  <c r="J48" i="2"/>
  <c r="M48" i="2"/>
  <c r="N48" i="2"/>
  <c r="J14" i="2"/>
  <c r="J13" i="2"/>
  <c r="J27" i="2"/>
  <c r="K27" i="2"/>
  <c r="L27" i="2"/>
  <c r="M27" i="2"/>
  <c r="N27" i="2"/>
  <c r="J79" i="2"/>
  <c r="K79" i="2"/>
  <c r="L79" i="2"/>
  <c r="M79" i="2"/>
  <c r="N79" i="2"/>
  <c r="K60" i="2"/>
  <c r="L60" i="2"/>
  <c r="M60" i="2"/>
  <c r="N60" i="2"/>
  <c r="J60" i="2"/>
  <c r="K138" i="2"/>
  <c r="L138" i="2"/>
  <c r="J138" i="2"/>
  <c r="M138" i="2"/>
  <c r="N138" i="2"/>
  <c r="K120" i="2"/>
  <c r="L120" i="2"/>
  <c r="J120" i="2"/>
  <c r="M120" i="2"/>
  <c r="N120" i="2"/>
  <c r="K24" i="2"/>
  <c r="L24" i="2"/>
  <c r="M24" i="2"/>
  <c r="N24" i="2"/>
  <c r="J24" i="2"/>
  <c r="K76" i="2"/>
  <c r="L76" i="2"/>
  <c r="M76" i="2"/>
  <c r="N76" i="2"/>
  <c r="J76" i="2"/>
  <c r="K66" i="2"/>
  <c r="L66" i="2"/>
  <c r="M66" i="2"/>
  <c r="N66" i="2"/>
  <c r="J66" i="2"/>
  <c r="K97" i="2"/>
  <c r="L97" i="2"/>
  <c r="M97" i="2"/>
  <c r="N97" i="2"/>
  <c r="J97" i="2"/>
  <c r="J73" i="2"/>
  <c r="M73" i="2"/>
  <c r="N73" i="2"/>
  <c r="K73" i="2"/>
  <c r="L73" i="2"/>
  <c r="J65" i="2"/>
  <c r="M65" i="2"/>
  <c r="N65" i="2"/>
  <c r="K65" i="2"/>
  <c r="L65" i="2"/>
  <c r="J57" i="2"/>
  <c r="M57" i="2"/>
  <c r="N57" i="2"/>
  <c r="K57" i="2"/>
  <c r="L57" i="2"/>
  <c r="K93" i="2"/>
  <c r="L93" i="2"/>
  <c r="J93" i="2"/>
  <c r="M93" i="2"/>
  <c r="N93" i="2"/>
  <c r="J141" i="2"/>
  <c r="K141" i="2"/>
  <c r="L141" i="2"/>
  <c r="M141" i="2"/>
  <c r="N141" i="2"/>
  <c r="K110" i="2"/>
  <c r="L110" i="2"/>
  <c r="J110" i="2"/>
  <c r="M110" i="2"/>
  <c r="N110" i="2"/>
  <c r="K87" i="2"/>
  <c r="L87" i="2"/>
  <c r="J87" i="2"/>
  <c r="M87" i="2"/>
  <c r="N87" i="2"/>
  <c r="K124" i="2"/>
  <c r="L124" i="2"/>
  <c r="J124" i="2"/>
  <c r="M124" i="2"/>
  <c r="N124" i="2"/>
  <c r="M51" i="2"/>
  <c r="N51" i="2"/>
  <c r="J51" i="2"/>
  <c r="K51" i="2"/>
  <c r="L51" i="2"/>
  <c r="M43" i="2"/>
  <c r="N43" i="2"/>
  <c r="J43" i="2"/>
  <c r="K43" i="2"/>
  <c r="L43" i="2"/>
  <c r="M94" i="2"/>
  <c r="N94" i="2"/>
  <c r="J94" i="2"/>
  <c r="K94" i="2"/>
  <c r="L94" i="2"/>
  <c r="J147" i="2"/>
  <c r="M147" i="2"/>
  <c r="N147" i="2"/>
  <c r="K147" i="2"/>
  <c r="L147" i="2"/>
  <c r="J135" i="2"/>
  <c r="M135" i="2"/>
  <c r="N135" i="2"/>
  <c r="K135" i="2"/>
  <c r="L135" i="2"/>
  <c r="J127" i="2"/>
  <c r="M127" i="2"/>
  <c r="N127" i="2"/>
  <c r="K127" i="2"/>
  <c r="L127" i="2"/>
  <c r="J119" i="2"/>
  <c r="M119" i="2"/>
  <c r="N119" i="2"/>
  <c r="K119" i="2"/>
  <c r="L119" i="2"/>
  <c r="J111" i="2"/>
  <c r="M111" i="2"/>
  <c r="N111" i="2"/>
  <c r="K111" i="2"/>
  <c r="L111" i="2"/>
  <c r="J103" i="2"/>
  <c r="M103" i="2"/>
  <c r="N103" i="2"/>
  <c r="K103" i="2"/>
  <c r="L103" i="2"/>
  <c r="M84" i="2"/>
  <c r="N84" i="2"/>
  <c r="K84" i="2"/>
  <c r="L84" i="2"/>
  <c r="J84" i="2"/>
  <c r="B23" i="1"/>
  <c r="B24" i="1"/>
</calcChain>
</file>

<file path=xl/sharedStrings.xml><?xml version="1.0" encoding="utf-8"?>
<sst xmlns="http://schemas.openxmlformats.org/spreadsheetml/2006/main" count="252" uniqueCount="225">
  <si>
    <t>author: Dr. Christian Huber</t>
  </si>
  <si>
    <t>Fit of the calibration curve is optimized between 0 and 250 % air-saturation (0 and 388 Torr)</t>
  </si>
  <si>
    <t>enter your values here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</si>
  <si>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0,T0</t>
    </r>
  </si>
  <si>
    <t xml:space="preserve">phase angle of cal 0 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</si>
  <si>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100,T100</t>
    </r>
  </si>
  <si>
    <t>phase angle of cal 100 (water-vapor saturated air)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</si>
  <si>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m,Tm</t>
    </r>
  </si>
  <si>
    <t>measured phase angle</t>
  </si>
  <si>
    <r>
      <t>input of T</t>
    </r>
    <r>
      <rPr>
        <vertAlign val="subscript"/>
        <sz val="10"/>
        <rFont val="Arial"/>
        <family val="2"/>
      </rPr>
      <t>0</t>
    </r>
  </si>
  <si>
    <t xml:space="preserve">temperature of cal 0 </t>
  </si>
  <si>
    <r>
      <t>input of  T</t>
    </r>
    <r>
      <rPr>
        <vertAlign val="subscript"/>
        <sz val="10"/>
        <rFont val="Arial"/>
        <family val="2"/>
      </rPr>
      <t>100</t>
    </r>
  </si>
  <si>
    <t>temperatur of cal100</t>
  </si>
  <si>
    <r>
      <t>input of T</t>
    </r>
    <r>
      <rPr>
        <vertAlign val="subscript"/>
        <sz val="10"/>
        <rFont val="Arial"/>
        <family val="2"/>
      </rPr>
      <t>m</t>
    </r>
  </si>
  <si>
    <t>temperature at measurement</t>
  </si>
  <si>
    <r>
      <t>air pressure p</t>
    </r>
    <r>
      <rPr>
        <vertAlign val="subscript"/>
        <sz val="10"/>
        <rFont val="Arial"/>
        <family val="2"/>
      </rPr>
      <t>atm</t>
    </r>
  </si>
  <si>
    <t>air pressure</t>
  </si>
  <si>
    <t>Results of calculation + compensation</t>
  </si>
  <si>
    <t>[%] air saturation</t>
  </si>
  <si>
    <t>%</t>
  </si>
  <si>
    <r>
      <t>[%] O</t>
    </r>
    <r>
      <rPr>
        <b/>
        <vertAlign val="subscript"/>
        <sz val="14"/>
        <rFont val="Arial"/>
        <family val="2"/>
      </rPr>
      <t>2</t>
    </r>
  </si>
  <si>
    <r>
      <t>pO</t>
    </r>
    <r>
      <rPr>
        <b/>
        <vertAlign val="subscript"/>
        <sz val="14"/>
        <rFont val="Arial"/>
        <family val="2"/>
      </rPr>
      <t xml:space="preserve">2 </t>
    </r>
    <r>
      <rPr>
        <b/>
        <sz val="14"/>
        <rFont val="Arial"/>
        <family val="2"/>
      </rPr>
      <t>[hPa]</t>
    </r>
  </si>
  <si>
    <t>hPa</t>
  </si>
  <si>
    <r>
      <t>pO</t>
    </r>
    <r>
      <rPr>
        <b/>
        <vertAlign val="subscript"/>
        <sz val="14"/>
        <rFont val="Arial"/>
        <family val="2"/>
      </rPr>
      <t xml:space="preserve">2 </t>
    </r>
    <r>
      <rPr>
        <b/>
        <sz val="14"/>
        <rFont val="Arial"/>
        <family val="2"/>
      </rPr>
      <t>[Torr]</t>
    </r>
  </si>
  <si>
    <t>Torr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</si>
  <si>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[mg/L]</t>
    </r>
  </si>
  <si>
    <t>mg/L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</si>
  <si>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[ppm]</t>
    </r>
  </si>
  <si>
    <t>ppm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</si>
  <si>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[µmol/L]</t>
    </r>
  </si>
  <si>
    <t>µmol/L</t>
  </si>
  <si>
    <t>Internal calculated parameter (DO NOT CHANGE !!)</t>
  </si>
  <si>
    <t>f1</t>
  </si>
  <si>
    <r>
      <t>DF</t>
    </r>
    <r>
      <rPr>
        <b/>
        <sz val="10"/>
        <rFont val="Arial"/>
        <family val="2"/>
      </rPr>
      <t>/K</t>
    </r>
  </si>
  <si>
    <r>
      <t>D</t>
    </r>
    <r>
      <rPr>
        <b/>
        <sz val="10"/>
        <rFont val="Arial"/>
        <family val="2"/>
      </rPr>
      <t>K</t>
    </r>
    <r>
      <rPr>
        <b/>
        <vertAlign val="subscript"/>
        <sz val="10"/>
        <rFont val="Arial"/>
        <family val="2"/>
      </rPr>
      <t>SV</t>
    </r>
    <r>
      <rPr>
        <b/>
        <sz val="10"/>
        <rFont val="Arial"/>
        <family val="2"/>
      </rPr>
      <t>/K</t>
    </r>
  </si>
  <si>
    <t>m</t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</si>
  <si>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0,T100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</si>
  <si>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0,Tm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</si>
  <si>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100,T100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</si>
  <si>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m,Tm</t>
    </r>
    <r>
      <rPr>
        <b/>
        <sz val="10"/>
        <rFont val="Arial"/>
        <family val="2"/>
      </rPr>
      <t>)</t>
    </r>
  </si>
  <si>
    <r>
      <t>K</t>
    </r>
    <r>
      <rPr>
        <b/>
        <vertAlign val="subscript"/>
        <sz val="10"/>
        <rFont val="Arial"/>
        <family val="2"/>
      </rPr>
      <t>SV,T100</t>
    </r>
  </si>
  <si>
    <r>
      <t>K</t>
    </r>
    <r>
      <rPr>
        <b/>
        <vertAlign val="subscript"/>
        <sz val="10"/>
        <rFont val="Arial"/>
        <family val="2"/>
      </rPr>
      <t>SV</t>
    </r>
    <r>
      <rPr>
        <b/>
        <sz val="10"/>
        <rFont val="Arial"/>
        <family val="2"/>
      </rPr>
      <t>,T</t>
    </r>
    <r>
      <rPr>
        <b/>
        <vertAlign val="subscript"/>
        <sz val="10"/>
        <rFont val="Arial"/>
        <family val="2"/>
      </rPr>
      <t>m</t>
    </r>
  </si>
  <si>
    <t>A</t>
  </si>
  <si>
    <t>B</t>
  </si>
  <si>
    <t>C</t>
  </si>
  <si>
    <t>a</t>
  </si>
  <si>
    <t>b</t>
  </si>
  <si>
    <t>c</t>
  </si>
  <si>
    <t>Insert your calibration values</t>
  </si>
  <si>
    <t>cal0</t>
  </si>
  <si>
    <t>°</t>
  </si>
  <si>
    <t>T0</t>
  </si>
  <si>
    <t>°C</t>
  </si>
  <si>
    <t>cal100</t>
  </si>
  <si>
    <t>T100</t>
  </si>
  <si>
    <t xml:space="preserve">air pressure </t>
  </si>
  <si>
    <t>mbar</t>
  </si>
  <si>
    <t>date</t>
  </si>
  <si>
    <t xml:space="preserve"> time/hh:mm:ss</t>
  </si>
  <si>
    <t xml:space="preserve"> logtime/min</t>
  </si>
  <si>
    <t xml:space="preserve"> oxygen/% airsatur.</t>
  </si>
  <si>
    <t xml:space="preserve"> amp</t>
  </si>
  <si>
    <t>% air-sat.</t>
  </si>
  <si>
    <t>% oxygen</t>
  </si>
  <si>
    <t>pO2 (hPa)</t>
  </si>
  <si>
    <t>pO2 (Torr)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</si>
  <si>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[mg/L]</t>
    </r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</si>
  <si>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[µmol/L]</t>
    </r>
  </si>
  <si>
    <t>Salinity</t>
  </si>
  <si>
    <t>Chlorinity</t>
  </si>
  <si>
    <r>
      <t>°/</t>
    </r>
    <r>
      <rPr>
        <b/>
        <vertAlign val="subscript"/>
        <sz val="10"/>
        <rFont val="Arial"/>
        <family val="2"/>
      </rPr>
      <t>°°</t>
    </r>
  </si>
  <si>
    <t>The oxygen contents are calculated automatically from the raw data</t>
  </si>
  <si>
    <t>file name: PSt1_Eq4_Sal</t>
  </si>
  <si>
    <t>programm for temperature compensated oxygen calculation of membrane PSt1</t>
  </si>
  <si>
    <t xml:space="preserve">Insert the data you get from the Ascii File recorded with the OxyView TX3-V5.31.exe software </t>
  </si>
  <si>
    <t xml:space="preserve"> phase/°</t>
  </si>
  <si>
    <t xml:space="preserve"> temp/°C</t>
  </si>
  <si>
    <t>chamber volume [L]</t>
  </si>
  <si>
    <t>INSERT YOUR RESPECTIVE DATA</t>
  </si>
  <si>
    <t>T11</t>
  </si>
  <si>
    <t>T1</t>
  </si>
  <si>
    <t>regression formula</t>
  </si>
  <si>
    <t>time</t>
  </si>
  <si>
    <t>value for T=1 min.</t>
  </si>
  <si>
    <t>change data input according to column N</t>
  </si>
  <si>
    <t>calculate from regression curve values for 10 minutes of photosynthesis or respiration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</si>
  <si>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 h]</t>
    </r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</si>
  <si>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 h]</t>
    </r>
  </si>
  <si>
    <t>value for T=26 min.</t>
  </si>
  <si>
    <t>difference between T25 and T1</t>
  </si>
  <si>
    <t>10minutes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</si>
  <si>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 10 min]</t>
    </r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</si>
  <si>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 h gFW]</t>
    </r>
  </si>
  <si>
    <t xml:space="preserve">   17:14:23</t>
  </si>
  <si>
    <t xml:space="preserve">   17:14:34</t>
  </si>
  <si>
    <t xml:space="preserve">   17:14:44</t>
  </si>
  <si>
    <t xml:space="preserve">   17:14:54</t>
  </si>
  <si>
    <t xml:space="preserve">   17:15:04</t>
  </si>
  <si>
    <t xml:space="preserve">   17:15:14</t>
  </si>
  <si>
    <t xml:space="preserve">   17:15:24</t>
  </si>
  <si>
    <t xml:space="preserve">   17:15:34</t>
  </si>
  <si>
    <t xml:space="preserve">   17:15:44</t>
  </si>
  <si>
    <t xml:space="preserve">   17:15:54</t>
  </si>
  <si>
    <t xml:space="preserve">   17:16:04</t>
  </si>
  <si>
    <t xml:space="preserve">   17:16:14</t>
  </si>
  <si>
    <t xml:space="preserve">   17:16:24</t>
  </si>
  <si>
    <t xml:space="preserve">   17:16:34</t>
  </si>
  <si>
    <t xml:space="preserve">   17:16:44</t>
  </si>
  <si>
    <t xml:space="preserve">   17:16:54</t>
  </si>
  <si>
    <t xml:space="preserve">   17:17:04</t>
  </si>
  <si>
    <t xml:space="preserve">   17:17:14</t>
  </si>
  <si>
    <t xml:space="preserve">   17:17:24</t>
  </si>
  <si>
    <t xml:space="preserve">   17:17:34</t>
  </si>
  <si>
    <t xml:space="preserve">   17:17:44</t>
  </si>
  <si>
    <t xml:space="preserve">   17:17:54</t>
  </si>
  <si>
    <t xml:space="preserve">   17:18:04</t>
  </si>
  <si>
    <t xml:space="preserve">   17:18:14</t>
  </si>
  <si>
    <t xml:space="preserve">   17:18:24</t>
  </si>
  <si>
    <t xml:space="preserve">   17:18:34</t>
  </si>
  <si>
    <t xml:space="preserve">   17:18:44</t>
  </si>
  <si>
    <t xml:space="preserve">   17:18:54</t>
  </si>
  <si>
    <t xml:space="preserve">   17:19:04</t>
  </si>
  <si>
    <t xml:space="preserve">   17:19:14</t>
  </si>
  <si>
    <t xml:space="preserve">   17:19:24</t>
  </si>
  <si>
    <t xml:space="preserve">   17:19:34</t>
  </si>
  <si>
    <t xml:space="preserve">   17:19:44</t>
  </si>
  <si>
    <t xml:space="preserve">   17:19:55</t>
  </si>
  <si>
    <t xml:space="preserve">   17:20:05</t>
  </si>
  <si>
    <t xml:space="preserve">   17:20:15</t>
  </si>
  <si>
    <t xml:space="preserve">   17:20:25</t>
  </si>
  <si>
    <t xml:space="preserve">   17:20:35</t>
  </si>
  <si>
    <t xml:space="preserve">   17:20:45</t>
  </si>
  <si>
    <t xml:space="preserve">   17:20:55</t>
  </si>
  <si>
    <t xml:space="preserve">   17:21:05</t>
  </si>
  <si>
    <t xml:space="preserve">   17:21:15</t>
  </si>
  <si>
    <t xml:space="preserve">   17:21:25</t>
  </si>
  <si>
    <t xml:space="preserve">   17:21:35</t>
  </si>
  <si>
    <t xml:space="preserve">   17:21:45</t>
  </si>
  <si>
    <t xml:space="preserve">   17:21:55</t>
  </si>
  <si>
    <t xml:space="preserve">   17:22:05</t>
  </si>
  <si>
    <t xml:space="preserve">   17:22:15</t>
  </si>
  <si>
    <t xml:space="preserve">   17:22:25</t>
  </si>
  <si>
    <t xml:space="preserve">   17:22:35</t>
  </si>
  <si>
    <t xml:space="preserve">   17:22:45</t>
  </si>
  <si>
    <t xml:space="preserve">   17:22:55</t>
  </si>
  <si>
    <t xml:space="preserve">   17:23:05</t>
  </si>
  <si>
    <t xml:space="preserve">   17:23:14</t>
  </si>
  <si>
    <t xml:space="preserve">   17:23:24</t>
  </si>
  <si>
    <t xml:space="preserve">   17:23:34</t>
  </si>
  <si>
    <t xml:space="preserve">   17:23:44</t>
  </si>
  <si>
    <t xml:space="preserve">   17:23:54</t>
  </si>
  <si>
    <t xml:space="preserve">   17:24:04</t>
  </si>
  <si>
    <t xml:space="preserve">   17:24:14</t>
  </si>
  <si>
    <t xml:space="preserve">   17:24:24</t>
  </si>
  <si>
    <t xml:space="preserve">   17:24:34</t>
  </si>
  <si>
    <t xml:space="preserve">   17:24:44</t>
  </si>
  <si>
    <t xml:space="preserve">   17:24:54</t>
  </si>
  <si>
    <t xml:space="preserve">   17:25:04</t>
  </si>
  <si>
    <t xml:space="preserve">   17:25:14</t>
  </si>
  <si>
    <t xml:space="preserve">   17:25:24</t>
  </si>
  <si>
    <t xml:space="preserve">   17:25:34</t>
  </si>
  <si>
    <t xml:space="preserve">   17:25:44</t>
  </si>
  <si>
    <t xml:space="preserve">   17:25:54</t>
  </si>
  <si>
    <t xml:space="preserve">   17:26:04</t>
  </si>
  <si>
    <t xml:space="preserve">   17:26:14</t>
  </si>
  <si>
    <t xml:space="preserve">   17:26:24</t>
  </si>
  <si>
    <t xml:space="preserve">   17:26:34</t>
  </si>
  <si>
    <t xml:space="preserve">   17:26:44</t>
  </si>
  <si>
    <t xml:space="preserve">   17:26:54</t>
  </si>
  <si>
    <t xml:space="preserve">   17:27:04</t>
  </si>
  <si>
    <t xml:space="preserve">   17:27:14</t>
  </si>
  <si>
    <t xml:space="preserve">   17:27:24</t>
  </si>
  <si>
    <t xml:space="preserve">   17:27:34</t>
  </si>
  <si>
    <t xml:space="preserve">   17:27:44</t>
  </si>
  <si>
    <t xml:space="preserve">   17:27:54</t>
  </si>
  <si>
    <t xml:space="preserve">   17:28:04</t>
  </si>
  <si>
    <t xml:space="preserve">   17:28:14</t>
  </si>
  <si>
    <t xml:space="preserve">   17:28:24</t>
  </si>
  <si>
    <t xml:space="preserve">   17:28:34</t>
  </si>
  <si>
    <t xml:space="preserve">   17:28:44</t>
  </si>
  <si>
    <t xml:space="preserve">   17:28:54</t>
  </si>
  <si>
    <t xml:space="preserve">   17:29:04</t>
  </si>
  <si>
    <t xml:space="preserve">   17:29:14</t>
  </si>
  <si>
    <t xml:space="preserve">   17:29:24</t>
  </si>
  <si>
    <t xml:space="preserve">   17:29:34</t>
  </si>
  <si>
    <t xml:space="preserve">   17:29:44</t>
  </si>
  <si>
    <t xml:space="preserve">   17:29:54</t>
  </si>
  <si>
    <t xml:space="preserve">   17:30:04</t>
  </si>
  <si>
    <t xml:space="preserve">   17:30:14</t>
  </si>
  <si>
    <t xml:space="preserve">   17:30:24</t>
  </si>
  <si>
    <t xml:space="preserve">   17:30:34</t>
  </si>
  <si>
    <t xml:space="preserve">   17:30:44</t>
  </si>
  <si>
    <t xml:space="preserve">   17:30:55</t>
  </si>
  <si>
    <t xml:space="preserve">   17:31:05</t>
  </si>
  <si>
    <t xml:space="preserve">   17:31:15</t>
  </si>
  <si>
    <t xml:space="preserve">   17:31:25</t>
  </si>
  <si>
    <t xml:space="preserve">   17:31:35</t>
  </si>
  <si>
    <t xml:space="preserve">   17:31:45</t>
  </si>
  <si>
    <t xml:space="preserve">   17:31:55</t>
  </si>
  <si>
    <t xml:space="preserve">   17:32:05</t>
  </si>
  <si>
    <t xml:space="preserve">   17:32:15</t>
  </si>
  <si>
    <t xml:space="preserve">   17:32:25</t>
  </si>
  <si>
    <t xml:space="preserve">   17:32:35</t>
  </si>
  <si>
    <t xml:space="preserve">   17:32:45</t>
  </si>
  <si>
    <t xml:space="preserve">   17:32:55</t>
  </si>
  <si>
    <t xml:space="preserve">   17:33:05</t>
  </si>
  <si>
    <t xml:space="preserve">   17:33:15</t>
  </si>
  <si>
    <t xml:space="preserve">   17:33:25</t>
  </si>
  <si>
    <t xml:space="preserve">   17:33:35</t>
  </si>
  <si>
    <t xml:space="preserve">   17:33:45</t>
  </si>
  <si>
    <t xml:space="preserve">   17:33:55</t>
  </si>
  <si>
    <t xml:space="preserve">   17:34:05</t>
  </si>
  <si>
    <t xml:space="preserve">   17:34:15</t>
  </si>
  <si>
    <t xml:space="preserve">   17:34:25</t>
  </si>
  <si>
    <t xml:space="preserve">   17:34:35</t>
  </si>
  <si>
    <t xml:space="preserve">   17:34:44</t>
  </si>
  <si>
    <t xml:space="preserve">   17:34:54</t>
  </si>
  <si>
    <t xml:space="preserve">   17:35:04</t>
  </si>
  <si>
    <t xml:space="preserve">   17:35:14</t>
  </si>
  <si>
    <t xml:space="preserve">   17:35:24</t>
  </si>
  <si>
    <t xml:space="preserve">   17:35:34</t>
  </si>
  <si>
    <t xml:space="preserve">   17:35:44</t>
  </si>
  <si>
    <t xml:space="preserve">   17:35:54</t>
  </si>
  <si>
    <t>Fresh weight (g)</t>
  </si>
  <si>
    <t>Blank (Chamber 2) cO2 [µmol/ h]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</si>
</sst>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0.000"/>
    <numFmt numFmtId="173" formatCode="0.0"/>
  </numFmts>
  <fonts count="12" x14ac:knownFonts="1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Symbol"/>
      <family val="1"/>
    </font>
    <font>
      <vertAlign val="subscript"/>
      <sz val="10"/>
      <name val="Arial"/>
      <family val="2"/>
    </font>
    <font>
      <b/>
      <sz val="14"/>
      <name val="Arial"/>
      <family val="2"/>
    </font>
    <font>
      <b/>
      <vertAlign val="subscript"/>
      <sz val="14"/>
      <name val="Arial"/>
      <family val="2"/>
    </font>
    <font>
      <b/>
      <sz val="10"/>
      <name val="Symbol"/>
      <family val="1"/>
    </font>
    <font>
      <b/>
      <vertAlign val="subscript"/>
      <sz val="10"/>
      <name val="Arial"/>
      <family val="2"/>
    </font>
    <font>
      <b/>
      <sz val="10"/>
      <name val="Arial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double">
        <color auto="1"/>
      </right>
      <top style="medium">
        <color auto="1"/>
      </top>
      <bottom/>
      <diagonal/>
    </border>
    <border>
      <left style="double">
        <color auto="1"/>
      </left>
      <right style="thin">
        <color auto="1"/>
      </right>
      <top style="medium">
        <color auto="1"/>
      </top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1" fillId="0" borderId="0" xfId="0" applyFont="1" applyFill="1" applyBorder="1"/>
    <xf numFmtId="14" fontId="1" fillId="0" borderId="0" xfId="0" applyNumberFormat="1" applyFont="1" applyFill="1" applyBorder="1"/>
    <xf numFmtId="0" fontId="3" fillId="0" borderId="0" xfId="0" applyFont="1" applyAlignment="1">
      <alignment horizontal="center" vertical="top" wrapText="1"/>
    </xf>
    <xf numFmtId="0" fontId="1" fillId="0" borderId="0" xfId="0" applyFont="1" applyBorder="1"/>
    <xf numFmtId="0" fontId="1" fillId="0" borderId="0" xfId="0" applyFont="1"/>
    <xf numFmtId="0" fontId="4" fillId="0" borderId="1" xfId="0" applyFont="1" applyBorder="1"/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4" fillId="0" borderId="3" xfId="0" applyFont="1" applyFill="1" applyBorder="1"/>
    <xf numFmtId="0" fontId="4" fillId="0" borderId="4" xfId="0" applyFont="1" applyFill="1" applyBorder="1"/>
    <xf numFmtId="0" fontId="1" fillId="2" borderId="5" xfId="0" applyFont="1" applyFill="1" applyBorder="1"/>
    <xf numFmtId="0" fontId="1" fillId="2" borderId="0" xfId="0" applyFont="1" applyFill="1" applyBorder="1"/>
    <xf numFmtId="0" fontId="1" fillId="2" borderId="6" xfId="0" applyFont="1" applyFill="1" applyBorder="1"/>
    <xf numFmtId="0" fontId="1" fillId="0" borderId="7" xfId="0" applyNumberFormat="1" applyFont="1" applyBorder="1" applyAlignment="1">
      <alignment horizontal="center"/>
    </xf>
    <xf numFmtId="0" fontId="1" fillId="2" borderId="8" xfId="0" applyFont="1" applyFill="1" applyBorder="1"/>
    <xf numFmtId="0" fontId="1" fillId="0" borderId="9" xfId="0" applyNumberFormat="1" applyFont="1" applyBorder="1" applyAlignment="1">
      <alignment horizontal="center"/>
    </xf>
    <xf numFmtId="0" fontId="1" fillId="2" borderId="10" xfId="0" applyFont="1" applyFill="1" applyBorder="1"/>
    <xf numFmtId="0" fontId="1" fillId="2" borderId="11" xfId="0" applyFont="1" applyFill="1" applyBorder="1"/>
    <xf numFmtId="0" fontId="7" fillId="3" borderId="1" xfId="0" applyFont="1" applyFill="1" applyBorder="1" applyAlignment="1">
      <alignment horizontal="centerContinuous"/>
    </xf>
    <xf numFmtId="0" fontId="7" fillId="3" borderId="3" xfId="0" applyFont="1" applyFill="1" applyBorder="1" applyAlignment="1">
      <alignment horizontal="centerContinuous"/>
    </xf>
    <xf numFmtId="0" fontId="1" fillId="3" borderId="4" xfId="0" applyFont="1" applyFill="1" applyBorder="1"/>
    <xf numFmtId="0" fontId="7" fillId="3" borderId="5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  <xf numFmtId="0" fontId="1" fillId="3" borderId="6" xfId="0" applyFont="1" applyFill="1" applyBorder="1"/>
    <xf numFmtId="0" fontId="7" fillId="3" borderId="5" xfId="0" applyFont="1" applyFill="1" applyBorder="1" applyAlignment="1">
      <alignment horizontal="right"/>
    </xf>
    <xf numFmtId="172" fontId="7" fillId="3" borderId="0" xfId="0" applyNumberFormat="1" applyFont="1" applyFill="1" applyBorder="1"/>
    <xf numFmtId="0" fontId="7" fillId="3" borderId="0" xfId="0" applyFont="1" applyFill="1" applyBorder="1"/>
    <xf numFmtId="0" fontId="1" fillId="3" borderId="0" xfId="0" applyFont="1" applyFill="1" applyBorder="1"/>
    <xf numFmtId="2" fontId="7" fillId="3" borderId="0" xfId="0" applyNumberFormat="1" applyFont="1" applyFill="1" applyBorder="1"/>
    <xf numFmtId="0" fontId="7" fillId="3" borderId="8" xfId="0" applyFont="1" applyFill="1" applyBorder="1" applyAlignment="1">
      <alignment horizontal="right"/>
    </xf>
    <xf numFmtId="2" fontId="7" fillId="3" borderId="10" xfId="0" applyNumberFormat="1" applyFont="1" applyFill="1" applyBorder="1"/>
    <xf numFmtId="0" fontId="7" fillId="3" borderId="10" xfId="0" applyFont="1" applyFill="1" applyBorder="1"/>
    <xf numFmtId="0" fontId="1" fillId="3" borderId="10" xfId="0" applyFont="1" applyFill="1" applyBorder="1"/>
    <xf numFmtId="0" fontId="1" fillId="3" borderId="11" xfId="0" applyFont="1" applyFill="1" applyBorder="1"/>
    <xf numFmtId="0" fontId="7" fillId="0" borderId="0" xfId="0" applyFont="1" applyFill="1" applyBorder="1"/>
    <xf numFmtId="2" fontId="7" fillId="0" borderId="0" xfId="0" applyNumberFormat="1" applyFont="1" applyFill="1" applyBorder="1"/>
    <xf numFmtId="0" fontId="1" fillId="0" borderId="0" xfId="0" applyFont="1" applyFill="1"/>
    <xf numFmtId="0" fontId="4" fillId="4" borderId="1" xfId="0" applyFont="1" applyFill="1" applyBorder="1"/>
    <xf numFmtId="0" fontId="4" fillId="4" borderId="3" xfId="0" applyFont="1" applyFill="1" applyBorder="1"/>
    <xf numFmtId="0" fontId="1" fillId="4" borderId="4" xfId="0" applyFont="1" applyFill="1" applyBorder="1"/>
    <xf numFmtId="0" fontId="4" fillId="4" borderId="5" xfId="0" applyFont="1" applyFill="1" applyBorder="1"/>
    <xf numFmtId="0" fontId="1" fillId="4" borderId="0" xfId="0" applyFont="1" applyFill="1" applyBorder="1"/>
    <xf numFmtId="0" fontId="4" fillId="4" borderId="0" xfId="0" applyFont="1" applyFill="1" applyBorder="1"/>
    <xf numFmtId="0" fontId="1" fillId="4" borderId="6" xfId="0" applyFont="1" applyFill="1" applyBorder="1"/>
    <xf numFmtId="0" fontId="9" fillId="4" borderId="5" xfId="0" applyFont="1" applyFill="1" applyBorder="1"/>
    <xf numFmtId="0" fontId="1" fillId="4" borderId="0" xfId="0" applyFont="1" applyFill="1" applyBorder="1" applyProtection="1"/>
    <xf numFmtId="0" fontId="0" fillId="4" borderId="0" xfId="0" applyFill="1" applyBorder="1"/>
    <xf numFmtId="0" fontId="11" fillId="4" borderId="5" xfId="0" applyFont="1" applyFill="1" applyBorder="1"/>
    <xf numFmtId="0" fontId="0" fillId="4" borderId="6" xfId="0" applyFill="1" applyBorder="1"/>
    <xf numFmtId="0" fontId="0" fillId="4" borderId="0" xfId="0" applyNumberFormat="1" applyFill="1" applyBorder="1"/>
    <xf numFmtId="0" fontId="0" fillId="4" borderId="10" xfId="0" applyFill="1" applyBorder="1"/>
    <xf numFmtId="173" fontId="0" fillId="0" borderId="0" xfId="0" applyNumberFormat="1"/>
    <xf numFmtId="0" fontId="0" fillId="0" borderId="0" xfId="0" applyAlignment="1">
      <alignment wrapText="1"/>
    </xf>
    <xf numFmtId="173" fontId="3" fillId="0" borderId="0" xfId="0" applyNumberFormat="1" applyFont="1" applyAlignment="1">
      <alignment horizontal="center" vertical="top" wrapText="1"/>
    </xf>
    <xf numFmtId="0" fontId="3" fillId="0" borderId="0" xfId="0" applyFont="1"/>
    <xf numFmtId="0" fontId="4" fillId="5" borderId="1" xfId="0" applyFont="1" applyFill="1" applyBorder="1"/>
    <xf numFmtId="0" fontId="4" fillId="5" borderId="12" xfId="0" applyFont="1" applyFill="1" applyBorder="1"/>
    <xf numFmtId="173" fontId="4" fillId="5" borderId="13" xfId="0" applyNumberFormat="1" applyFont="1" applyFill="1" applyBorder="1"/>
    <xf numFmtId="0" fontId="4" fillId="5" borderId="4" xfId="0" applyFont="1" applyFill="1" applyBorder="1"/>
    <xf numFmtId="0" fontId="4" fillId="0" borderId="0" xfId="0" applyFont="1"/>
    <xf numFmtId="173" fontId="4" fillId="0" borderId="0" xfId="0" applyNumberFormat="1" applyFont="1"/>
    <xf numFmtId="0" fontId="4" fillId="5" borderId="5" xfId="0" applyFont="1" applyFill="1" applyBorder="1"/>
    <xf numFmtId="0" fontId="4" fillId="5" borderId="14" xfId="0" applyFont="1" applyFill="1" applyBorder="1"/>
    <xf numFmtId="173" fontId="4" fillId="5" borderId="15" xfId="0" applyNumberFormat="1" applyFont="1" applyFill="1" applyBorder="1"/>
    <xf numFmtId="0" fontId="4" fillId="5" borderId="0" xfId="0" applyFont="1" applyFill="1" applyBorder="1"/>
    <xf numFmtId="0" fontId="4" fillId="5" borderId="6" xfId="0" applyFont="1" applyFill="1" applyBorder="1"/>
    <xf numFmtId="0" fontId="4" fillId="5" borderId="8" xfId="0" applyFont="1" applyFill="1" applyBorder="1"/>
    <xf numFmtId="0" fontId="4" fillId="5" borderId="16" xfId="0" applyNumberFormat="1" applyFont="1" applyFill="1" applyBorder="1" applyAlignment="1">
      <alignment horizontal="right"/>
    </xf>
    <xf numFmtId="0" fontId="4" fillId="5" borderId="17" xfId="0" applyFont="1" applyFill="1" applyBorder="1"/>
    <xf numFmtId="173" fontId="4" fillId="5" borderId="18" xfId="0" applyNumberFormat="1" applyFont="1" applyFill="1" applyBorder="1"/>
    <xf numFmtId="0" fontId="4" fillId="5" borderId="10" xfId="0" applyFont="1" applyFill="1" applyBorder="1"/>
    <xf numFmtId="0" fontId="4" fillId="5" borderId="11" xfId="0" applyFont="1" applyFill="1" applyBorder="1"/>
    <xf numFmtId="0" fontId="4" fillId="0" borderId="0" xfId="0" applyFont="1" applyFill="1" applyBorder="1"/>
    <xf numFmtId="0" fontId="4" fillId="0" borderId="0" xfId="0" applyNumberFormat="1" applyFont="1" applyFill="1" applyBorder="1" applyAlignment="1">
      <alignment horizontal="right"/>
    </xf>
    <xf numFmtId="173" fontId="4" fillId="0" borderId="0" xfId="0" applyNumberFormat="1" applyFont="1" applyFill="1" applyBorder="1"/>
    <xf numFmtId="0" fontId="4" fillId="0" borderId="0" xfId="0" applyFont="1" applyFill="1"/>
    <xf numFmtId="173" fontId="4" fillId="0" borderId="0" xfId="0" applyNumberFormat="1" applyFont="1" applyFill="1"/>
    <xf numFmtId="0" fontId="3" fillId="0" borderId="10" xfId="0" applyFont="1" applyFill="1" applyBorder="1"/>
    <xf numFmtId="0" fontId="1" fillId="4" borderId="3" xfId="0" applyFont="1" applyFill="1" applyBorder="1"/>
    <xf numFmtId="0" fontId="4" fillId="4" borderId="1" xfId="0" applyFont="1" applyFill="1" applyBorder="1" applyAlignment="1">
      <alignment horizontal="right"/>
    </xf>
    <xf numFmtId="173" fontId="1" fillId="4" borderId="3" xfId="0" applyNumberFormat="1" applyFont="1" applyFill="1" applyBorder="1" applyProtection="1"/>
    <xf numFmtId="0" fontId="11" fillId="4" borderId="1" xfId="0" applyFont="1" applyFill="1" applyBorder="1"/>
    <xf numFmtId="0" fontId="0" fillId="4" borderId="3" xfId="0" applyFill="1" applyBorder="1"/>
    <xf numFmtId="173" fontId="11" fillId="4" borderId="1" xfId="0" applyNumberFormat="1" applyFont="1" applyFill="1" applyBorder="1"/>
    <xf numFmtId="0" fontId="0" fillId="4" borderId="4" xfId="0" applyNumberFormat="1" applyFill="1" applyBorder="1"/>
    <xf numFmtId="0" fontId="4" fillId="4" borderId="5" xfId="0" applyFont="1" applyFill="1" applyBorder="1" applyAlignment="1">
      <alignment horizontal="right"/>
    </xf>
    <xf numFmtId="173" fontId="1" fillId="4" borderId="0" xfId="0" applyNumberFormat="1" applyFont="1" applyFill="1" applyBorder="1" applyProtection="1"/>
    <xf numFmtId="173" fontId="11" fillId="4" borderId="5" xfId="0" applyNumberFormat="1" applyFont="1" applyFill="1" applyBorder="1"/>
    <xf numFmtId="0" fontId="0" fillId="4" borderId="5" xfId="0" applyFill="1" applyBorder="1"/>
    <xf numFmtId="0" fontId="4" fillId="4" borderId="8" xfId="0" applyFont="1" applyFill="1" applyBorder="1"/>
    <xf numFmtId="0" fontId="1" fillId="4" borderId="10" xfId="0" applyFont="1" applyFill="1" applyBorder="1"/>
    <xf numFmtId="0" fontId="4" fillId="4" borderId="8" xfId="0" applyFont="1" applyFill="1" applyBorder="1" applyAlignment="1">
      <alignment horizontal="right"/>
    </xf>
    <xf numFmtId="173" fontId="1" fillId="4" borderId="10" xfId="0" applyNumberFormat="1" applyFont="1" applyFill="1" applyBorder="1" applyProtection="1"/>
    <xf numFmtId="0" fontId="0" fillId="4" borderId="8" xfId="0" applyFill="1" applyBorder="1"/>
    <xf numFmtId="0" fontId="4" fillId="0" borderId="0" xfId="0" applyFont="1" applyFill="1" applyBorder="1" applyAlignment="1">
      <alignment horizontal="right"/>
    </xf>
    <xf numFmtId="173" fontId="1" fillId="0" borderId="0" xfId="0" applyNumberFormat="1" applyFont="1" applyFill="1" applyBorder="1" applyProtection="1"/>
    <xf numFmtId="0" fontId="0" fillId="0" borderId="0" xfId="0" applyFill="1" applyBorder="1"/>
    <xf numFmtId="173" fontId="0" fillId="0" borderId="0" xfId="0" applyNumberFormat="1" applyFill="1" applyBorder="1"/>
    <xf numFmtId="0" fontId="0" fillId="0" borderId="0" xfId="0" applyFill="1"/>
    <xf numFmtId="0" fontId="4" fillId="0" borderId="5" xfId="0" applyFont="1" applyFill="1" applyBorder="1" applyAlignment="1">
      <alignment horizontal="right"/>
    </xf>
    <xf numFmtId="14" fontId="0" fillId="0" borderId="0" xfId="0" applyNumberFormat="1"/>
    <xf numFmtId="2" fontId="4" fillId="0" borderId="0" xfId="0" applyNumberFormat="1" applyFont="1" applyFill="1" applyBorder="1"/>
    <xf numFmtId="172" fontId="4" fillId="0" borderId="0" xfId="0" applyNumberFormat="1" applyFont="1" applyFill="1" applyBorder="1"/>
    <xf numFmtId="0" fontId="1" fillId="4" borderId="10" xfId="0" applyNumberFormat="1" applyFont="1" applyFill="1" applyBorder="1" applyAlignment="1">
      <alignment horizontal="center"/>
    </xf>
    <xf numFmtId="0" fontId="1" fillId="4" borderId="11" xfId="0" applyFont="1" applyFill="1" applyBorder="1"/>
    <xf numFmtId="0" fontId="4" fillId="5" borderId="0" xfId="0" applyNumberFormat="1" applyFont="1" applyFill="1" applyBorder="1" applyAlignment="1">
      <alignment horizontal="right"/>
    </xf>
    <xf numFmtId="173" fontId="4" fillId="5" borderId="0" xfId="0" applyNumberFormat="1" applyFont="1" applyFill="1" applyBorder="1"/>
    <xf numFmtId="173" fontId="1" fillId="4" borderId="8" xfId="0" applyNumberFormat="1" applyFont="1" applyFill="1" applyBorder="1"/>
    <xf numFmtId="0" fontId="4" fillId="6" borderId="0" xfId="0" applyFont="1" applyFill="1" applyAlignment="1">
      <alignment wrapText="1"/>
    </xf>
    <xf numFmtId="0" fontId="1" fillId="0" borderId="0" xfId="0" applyFont="1" applyAlignment="1">
      <alignment wrapText="1"/>
    </xf>
    <xf numFmtId="0" fontId="0" fillId="7" borderId="0" xfId="0" applyFill="1" applyAlignment="1">
      <alignment wrapText="1"/>
    </xf>
    <xf numFmtId="0" fontId="0" fillId="0" borderId="7" xfId="0" applyNumberFormat="1" applyBorder="1" applyAlignment="1">
      <alignment horizontal="right"/>
    </xf>
    <xf numFmtId="0" fontId="4" fillId="0" borderId="19" xfId="0" applyFont="1" applyFill="1" applyBorder="1" applyAlignment="1">
      <alignment horizontal="center" wrapText="1"/>
    </xf>
    <xf numFmtId="0" fontId="4" fillId="0" borderId="20" xfId="0" applyFont="1" applyFill="1" applyBorder="1" applyAlignment="1">
      <alignment horizontal="center" wrapText="1"/>
    </xf>
    <xf numFmtId="0" fontId="4" fillId="0" borderId="21" xfId="0" applyFont="1" applyFill="1" applyBorder="1" applyAlignment="1">
      <alignment horizontal="center" wrapText="1"/>
    </xf>
    <xf numFmtId="0" fontId="1" fillId="0" borderId="22" xfId="0" applyFont="1" applyFill="1" applyBorder="1" applyAlignment="1">
      <alignment horizontal="right" wrapText="1"/>
    </xf>
    <xf numFmtId="0" fontId="1" fillId="0" borderId="23" xfId="0" applyFont="1" applyFill="1" applyBorder="1" applyAlignment="1">
      <alignment horizontal="right" wrapText="1"/>
    </xf>
    <xf numFmtId="0" fontId="1" fillId="0" borderId="24" xfId="0" applyFont="1" applyFill="1" applyBorder="1" applyAlignment="1">
      <alignment wrapText="1"/>
    </xf>
    <xf numFmtId="0" fontId="4" fillId="0" borderId="19" xfId="0" applyFont="1" applyFill="1" applyBorder="1" applyAlignment="1">
      <alignment horizontal="left" wrapText="1"/>
    </xf>
    <xf numFmtId="0" fontId="4" fillId="0" borderId="20" xfId="0" applyFont="1" applyFill="1" applyBorder="1" applyAlignment="1">
      <alignment horizontal="left" wrapText="1"/>
    </xf>
    <xf numFmtId="0" fontId="4" fillId="0" borderId="21" xfId="0" applyFont="1" applyFill="1" applyBorder="1" applyAlignment="1">
      <alignment horizontal="left" wrapText="1"/>
    </xf>
    <xf numFmtId="0" fontId="0" fillId="0" borderId="23" xfId="0" applyBorder="1" applyAlignment="1">
      <alignment horizontal="center" vertical="center" wrapText="1"/>
    </xf>
    <xf numFmtId="0" fontId="0" fillId="0" borderId="23" xfId="0" applyBorder="1" applyAlignment="1">
      <alignment wrapText="1"/>
    </xf>
    <xf numFmtId="0" fontId="0" fillId="0" borderId="24" xfId="0" applyBorder="1" applyAlignment="1">
      <alignment horizontal="center" vertical="center"/>
    </xf>
    <xf numFmtId="0" fontId="0" fillId="0" borderId="22" xfId="0" applyFill="1" applyBorder="1" applyAlignment="1">
      <alignment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0" fillId="0" borderId="0" xfId="0" applyAlignment="1"/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</cellXfs>
  <cellStyles count="1">
    <cellStyle name="Standard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5802742016184"/>
          <c:y val="0.0918729500347664"/>
          <c:w val="0.547326202671286"/>
          <c:h val="0.74911790028348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90"/>
              </a:solidFill>
              <a:ln>
                <a:solidFill>
                  <a:srgbClr val="00009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0.0584084143149831"/>
                  <c:y val="-0.102473467749498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</c:trendlineLbl>
          </c:trendline>
          <c:yVal>
            <c:numRef>
              <c:f>'Recalculate Fibox values'!$N$27:$N$150</c:f>
              <c:numCache>
                <c:formatCode>0.00</c:formatCode>
                <c:ptCount val="124"/>
                <c:pt idx="0">
                  <c:v>252.7722904143365</c:v>
                </c:pt>
                <c:pt idx="1">
                  <c:v>253.2111398664664</c:v>
                </c:pt>
                <c:pt idx="2">
                  <c:v>253.2111398664664</c:v>
                </c:pt>
                <c:pt idx="3">
                  <c:v>252.9916075946655</c:v>
                </c:pt>
                <c:pt idx="4">
                  <c:v>251.4608885544381</c:v>
                </c:pt>
                <c:pt idx="5">
                  <c:v>252.9916075946655</c:v>
                </c:pt>
                <c:pt idx="6">
                  <c:v>255.8624070775676</c:v>
                </c:pt>
                <c:pt idx="7">
                  <c:v>254.312037457476</c:v>
                </c:pt>
                <c:pt idx="8">
                  <c:v>254.312037457476</c:v>
                </c:pt>
                <c:pt idx="9">
                  <c:v>255.6402716458592</c:v>
                </c:pt>
                <c:pt idx="10">
                  <c:v>255.4183547092226</c:v>
                </c:pt>
                <c:pt idx="11">
                  <c:v>257.2669444911537</c:v>
                </c:pt>
                <c:pt idx="12">
                  <c:v>256.8203785961867</c:v>
                </c:pt>
                <c:pt idx="13">
                  <c:v>257.9384452927929</c:v>
                </c:pt>
                <c:pt idx="14">
                  <c:v>258.1627205721146</c:v>
                </c:pt>
                <c:pt idx="15">
                  <c:v>256.8203785961867</c:v>
                </c:pt>
                <c:pt idx="16">
                  <c:v>259.0620378212534</c:v>
                </c:pt>
                <c:pt idx="17">
                  <c:v>258.8368755073082</c:v>
                </c:pt>
                <c:pt idx="18">
                  <c:v>257.9384452927929</c:v>
                </c:pt>
                <c:pt idx="19">
                  <c:v>260.6444200555431</c:v>
                </c:pt>
                <c:pt idx="20">
                  <c:v>258.1627205721146</c:v>
                </c:pt>
                <c:pt idx="21">
                  <c:v>259.9649148729506</c:v>
                </c:pt>
                <c:pt idx="22">
                  <c:v>257.7143910458707</c:v>
                </c:pt>
                <c:pt idx="23">
                  <c:v>258.6119353886504</c:v>
                </c:pt>
                <c:pt idx="24">
                  <c:v>259.2874226223075</c:v>
                </c:pt>
                <c:pt idx="25">
                  <c:v>260.4176941788511</c:v>
                </c:pt>
                <c:pt idx="26">
                  <c:v>261.3259461210004</c:v>
                </c:pt>
                <c:pt idx="27">
                  <c:v>258.1627205721146</c:v>
                </c:pt>
                <c:pt idx="28">
                  <c:v>262.6950928849658</c:v>
                </c:pt>
                <c:pt idx="29">
                  <c:v>261.5535719406654</c:v>
                </c:pt>
                <c:pt idx="30">
                  <c:v>259.7388608552311</c:v>
                </c:pt>
                <c:pt idx="31">
                  <c:v>261.0324909282963</c:v>
                </c:pt>
                <c:pt idx="32">
                  <c:v>261.0324909282963</c:v>
                </c:pt>
                <c:pt idx="33">
                  <c:v>260.3514439506605</c:v>
                </c:pt>
                <c:pt idx="34">
                  <c:v>261.0324909282963</c:v>
                </c:pt>
                <c:pt idx="35">
                  <c:v>259.6724183911479</c:v>
                </c:pt>
                <c:pt idx="36">
                  <c:v>262.4006811532448</c:v>
                </c:pt>
                <c:pt idx="37">
                  <c:v>258.5451795660288</c:v>
                </c:pt>
                <c:pt idx="38">
                  <c:v>264.2376736857078</c:v>
                </c:pt>
                <c:pt idx="39">
                  <c:v>261.2599571722969</c:v>
                </c:pt>
                <c:pt idx="40">
                  <c:v>264.930327450693</c:v>
                </c:pt>
                <c:pt idx="41">
                  <c:v>263.3173495724281</c:v>
                </c:pt>
                <c:pt idx="42">
                  <c:v>263.3173495724281</c:v>
                </c:pt>
                <c:pt idx="43">
                  <c:v>263.5470871258961</c:v>
                </c:pt>
                <c:pt idx="44">
                  <c:v>263.5470871258961</c:v>
                </c:pt>
                <c:pt idx="45">
                  <c:v>263.5470871258961</c:v>
                </c:pt>
                <c:pt idx="46">
                  <c:v>264.4683281802486</c:v>
                </c:pt>
                <c:pt idx="47">
                  <c:v>266.5546048492715</c:v>
                </c:pt>
                <c:pt idx="48">
                  <c:v>266.3218694458935</c:v>
                </c:pt>
                <c:pt idx="49">
                  <c:v>265.6250566239381</c:v>
                </c:pt>
                <c:pt idx="50">
                  <c:v>265.6250566239381</c:v>
                </c:pt>
                <c:pt idx="51">
                  <c:v>267.7857764248155</c:v>
                </c:pt>
                <c:pt idx="52">
                  <c:v>266.8518725400627</c:v>
                </c:pt>
                <c:pt idx="53">
                  <c:v>268.0198363980469</c:v>
                </c:pt>
                <c:pt idx="54">
                  <c:v>266.8518725400627</c:v>
                </c:pt>
                <c:pt idx="55">
                  <c:v>267.3183578982793</c:v>
                </c:pt>
                <c:pt idx="56">
                  <c:v>267.3183578982793</c:v>
                </c:pt>
                <c:pt idx="57">
                  <c:v>270.6745947597649</c:v>
                </c:pt>
                <c:pt idx="58">
                  <c:v>269.7297159213607</c:v>
                </c:pt>
                <c:pt idx="59">
                  <c:v>269.2586938575104</c:v>
                </c:pt>
                <c:pt idx="60">
                  <c:v>271.6232699325626</c:v>
                </c:pt>
                <c:pt idx="61">
                  <c:v>269.0235360717331</c:v>
                </c:pt>
                <c:pt idx="62">
                  <c:v>268.5539254368024</c:v>
                </c:pt>
                <c:pt idx="63">
                  <c:v>267.1507107164608</c:v>
                </c:pt>
                <c:pt idx="64">
                  <c:v>269.9655808231174</c:v>
                </c:pt>
                <c:pt idx="65">
                  <c:v>270.9114068607777</c:v>
                </c:pt>
                <c:pt idx="66">
                  <c:v>271.8610342641032</c:v>
                </c:pt>
                <c:pt idx="67">
                  <c:v>270.2016820546736</c:v>
                </c:pt>
                <c:pt idx="68">
                  <c:v>271.385744132007</c:v>
                </c:pt>
                <c:pt idx="69">
                  <c:v>272.3372797860873</c:v>
                </c:pt>
                <c:pt idx="70">
                  <c:v>271.385744132007</c:v>
                </c:pt>
                <c:pt idx="71">
                  <c:v>272.0990374429954</c:v>
                </c:pt>
                <c:pt idx="72">
                  <c:v>273.7717740970193</c:v>
                </c:pt>
                <c:pt idx="73">
                  <c:v>273.228966521795</c:v>
                </c:pt>
                <c:pt idx="74">
                  <c:v>272.511833263924</c:v>
                </c:pt>
                <c:pt idx="75">
                  <c:v>273.4684928137818</c:v>
                </c:pt>
                <c:pt idx="76">
                  <c:v>273.4684928137818</c:v>
                </c:pt>
                <c:pt idx="77">
                  <c:v>272.511833263924</c:v>
                </c:pt>
                <c:pt idx="78">
                  <c:v>272.9896813794521</c:v>
                </c:pt>
                <c:pt idx="79">
                  <c:v>276.361735160042</c:v>
                </c:pt>
                <c:pt idx="80">
                  <c:v>275.8770897272788</c:v>
                </c:pt>
                <c:pt idx="81">
                  <c:v>275.393423105592</c:v>
                </c:pt>
                <c:pt idx="82">
                  <c:v>273.7082605759642</c:v>
                </c:pt>
                <c:pt idx="83">
                  <c:v>272.7506370666882</c:v>
                </c:pt>
                <c:pt idx="84">
                  <c:v>272.2732696520651</c:v>
                </c:pt>
                <c:pt idx="85">
                  <c:v>277.0905442906994</c:v>
                </c:pt>
                <c:pt idx="86">
                  <c:v>276.6044257457774</c:v>
                </c:pt>
                <c:pt idx="87">
                  <c:v>277.6397673041598</c:v>
                </c:pt>
                <c:pt idx="88">
                  <c:v>273.7717740970193</c:v>
                </c:pt>
                <c:pt idx="89">
                  <c:v>278.1276775911471</c:v>
                </c:pt>
                <c:pt idx="90">
                  <c:v>277.6397673041598</c:v>
                </c:pt>
                <c:pt idx="91">
                  <c:v>277.1528433619758</c:v>
                </c:pt>
                <c:pt idx="92">
                  <c:v>276.6669031416858</c:v>
                </c:pt>
                <c:pt idx="93">
                  <c:v>276.9097504502143</c:v>
                </c:pt>
                <c:pt idx="94">
                  <c:v>276.6669031416858</c:v>
                </c:pt>
                <c:pt idx="95">
                  <c:v>276.6669031416858</c:v>
                </c:pt>
                <c:pt idx="96">
                  <c:v>280.3355506288166</c:v>
                </c:pt>
                <c:pt idx="97">
                  <c:v>278.1276775911471</c:v>
                </c:pt>
                <c:pt idx="98">
                  <c:v>278.3720034357847</c:v>
                </c:pt>
                <c:pt idx="99">
                  <c:v>279.3517858521259</c:v>
                </c:pt>
                <c:pt idx="100">
                  <c:v>278.3720034357847</c:v>
                </c:pt>
                <c:pt idx="101">
                  <c:v>280.3355506288166</c:v>
                </c:pt>
                <c:pt idx="102">
                  <c:v>279.8431691169055</c:v>
                </c:pt>
                <c:pt idx="103">
                  <c:v>278.6165768538351</c:v>
                </c:pt>
                <c:pt idx="104">
                  <c:v>282.0667856973776</c:v>
                </c:pt>
                <c:pt idx="105">
                  <c:v>279.1064677311368</c:v>
                </c:pt>
                <c:pt idx="106">
                  <c:v>276.6669031416858</c:v>
                </c:pt>
                <c:pt idx="107">
                  <c:v>282.3151126133074</c:v>
                </c:pt>
                <c:pt idx="108">
                  <c:v>281.3233190708433</c:v>
                </c:pt>
                <c:pt idx="109">
                  <c:v>282.3151126133074</c:v>
                </c:pt>
                <c:pt idx="110">
                  <c:v>282.3151126133074</c:v>
                </c:pt>
                <c:pt idx="111">
                  <c:v>284.5614767761886</c:v>
                </c:pt>
                <c:pt idx="112">
                  <c:v>283.251022357188</c:v>
                </c:pt>
                <c:pt idx="113">
                  <c:v>279.2903094865527</c:v>
                </c:pt>
                <c:pt idx="114">
                  <c:v>281.0151871482617</c:v>
                </c:pt>
                <c:pt idx="115">
                  <c:v>283.750667610939</c:v>
                </c:pt>
                <c:pt idx="116">
                  <c:v>285.759491404419</c:v>
                </c:pt>
                <c:pt idx="117">
                  <c:v>282.2547855326486</c:v>
                </c:pt>
                <c:pt idx="118">
                  <c:v>281.7581885235561</c:v>
                </c:pt>
                <c:pt idx="119">
                  <c:v>283.0015819514957</c:v>
                </c:pt>
                <c:pt idx="120">
                  <c:v>283.0015819514957</c:v>
                </c:pt>
                <c:pt idx="121">
                  <c:v>282.5034638791193</c:v>
                </c:pt>
                <c:pt idx="122">
                  <c:v>283.5007174632719</c:v>
                </c:pt>
                <c:pt idx="123">
                  <c:v>284.7530254595018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8444792"/>
        <c:axId val="-2098260536"/>
      </c:scatterChart>
      <c:valAx>
        <c:axId val="-2098444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2098260536"/>
        <c:crosses val="autoZero"/>
        <c:crossBetween val="midCat"/>
      </c:valAx>
      <c:valAx>
        <c:axId val="-20982605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2098444792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41464076907938"/>
          <c:y val="0.384999295045236"/>
          <c:w val="0.229268497464955"/>
          <c:h val="0.1649996978765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/>
    <c:pageMargins b="0.984251969" l="0.787401575" r="0.787401575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23</xdr:row>
      <xdr:rowOff>139700</xdr:rowOff>
    </xdr:from>
    <xdr:to>
      <xdr:col>20</xdr:col>
      <xdr:colOff>355600</xdr:colOff>
      <xdr:row>40</xdr:row>
      <xdr:rowOff>88900</xdr:rowOff>
    </xdr:to>
    <xdr:graphicFrame macro="">
      <xdr:nvGraphicFramePr>
        <xdr:cNvPr id="103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workbookViewId="0">
      <selection activeCell="J18" sqref="I18:J18"/>
    </sheetView>
  </sheetViews>
  <sheetFormatPr baseColWidth="10" defaultRowHeight="12" x14ac:dyDescent="0"/>
  <cols>
    <col min="1" max="1" width="18.1640625" customWidth="1"/>
    <col min="2" max="2" width="21.33203125" customWidth="1"/>
    <col min="5" max="5" width="21.33203125" customWidth="1"/>
  </cols>
  <sheetData>
    <row r="1" spans="1:5">
      <c r="A1" s="1" t="s">
        <v>72</v>
      </c>
      <c r="D1" s="2"/>
      <c r="E1" s="2">
        <v>39536</v>
      </c>
    </row>
    <row r="2" spans="1:5">
      <c r="A2" s="1" t="s">
        <v>0</v>
      </c>
      <c r="D2" s="2"/>
      <c r="E2" s="2"/>
    </row>
    <row r="3" spans="1:5" ht="45" customHeight="1">
      <c r="A3" s="127" t="s">
        <v>73</v>
      </c>
      <c r="B3" s="127"/>
      <c r="C3" s="127"/>
      <c r="D3" s="127"/>
      <c r="E3" s="128"/>
    </row>
    <row r="4" spans="1:5" ht="15">
      <c r="A4" s="126" t="s">
        <v>1</v>
      </c>
      <c r="B4" s="126"/>
      <c r="C4" s="126"/>
      <c r="D4" s="126"/>
      <c r="E4" s="4"/>
    </row>
    <row r="5" spans="1:5" ht="13" thickBot="1">
      <c r="E5" s="5"/>
    </row>
    <row r="6" spans="1:5">
      <c r="A6" s="6"/>
      <c r="B6" s="7" t="s">
        <v>2</v>
      </c>
      <c r="C6" s="8"/>
      <c r="D6" s="9"/>
      <c r="E6" s="10"/>
    </row>
    <row r="7" spans="1:5">
      <c r="A7" s="11" t="s">
        <v>3</v>
      </c>
      <c r="B7">
        <v>58.62</v>
      </c>
      <c r="C7" s="12" t="s">
        <v>4</v>
      </c>
      <c r="D7" s="12"/>
      <c r="E7" s="13"/>
    </row>
    <row r="8" spans="1:5">
      <c r="A8" s="11" t="s">
        <v>5</v>
      </c>
      <c r="B8">
        <v>31.05</v>
      </c>
      <c r="C8" s="12" t="s">
        <v>6</v>
      </c>
      <c r="D8" s="12"/>
      <c r="E8" s="13"/>
    </row>
    <row r="9" spans="1:5">
      <c r="A9" s="11" t="s">
        <v>7</v>
      </c>
      <c r="B9" s="112">
        <v>30</v>
      </c>
      <c r="C9" s="12" t="s">
        <v>8</v>
      </c>
      <c r="D9" s="12"/>
      <c r="E9" s="13"/>
    </row>
    <row r="10" spans="1:5">
      <c r="A10" s="11" t="s">
        <v>9</v>
      </c>
      <c r="B10">
        <v>23.3</v>
      </c>
      <c r="C10" s="12" t="s">
        <v>10</v>
      </c>
      <c r="D10" s="12"/>
      <c r="E10" s="13"/>
    </row>
    <row r="11" spans="1:5">
      <c r="A11" s="11" t="s">
        <v>11</v>
      </c>
      <c r="B11">
        <v>17.899999999999999</v>
      </c>
      <c r="C11" s="12" t="s">
        <v>12</v>
      </c>
      <c r="D11" s="12"/>
      <c r="E11" s="13"/>
    </row>
    <row r="12" spans="1:5">
      <c r="A12" s="11" t="s">
        <v>13</v>
      </c>
      <c r="B12" s="14">
        <v>17.899999999999999</v>
      </c>
      <c r="C12" s="12" t="s">
        <v>14</v>
      </c>
      <c r="D12" s="12"/>
      <c r="E12" s="13"/>
    </row>
    <row r="13" spans="1:5">
      <c r="A13" s="11" t="s">
        <v>15</v>
      </c>
      <c r="B13" s="14">
        <v>1013</v>
      </c>
      <c r="C13" s="12" t="s">
        <v>16</v>
      </c>
      <c r="D13" s="12"/>
      <c r="E13" s="13"/>
    </row>
    <row r="14" spans="1:5" ht="13" thickBot="1">
      <c r="A14" s="15" t="s">
        <v>68</v>
      </c>
      <c r="B14" s="16">
        <v>32.299999999999997</v>
      </c>
      <c r="C14" s="17" t="s">
        <v>68</v>
      </c>
      <c r="D14" s="17"/>
      <c r="E14" s="18"/>
    </row>
    <row r="15" spans="1:5" ht="13" thickBot="1">
      <c r="B15" s="4"/>
      <c r="C15" s="1"/>
      <c r="E15" s="1"/>
    </row>
    <row r="16" spans="1:5" ht="17">
      <c r="A16" s="19" t="s">
        <v>17</v>
      </c>
      <c r="B16" s="20"/>
      <c r="C16" s="20"/>
      <c r="D16" s="20"/>
      <c r="E16" s="21"/>
    </row>
    <row r="17" spans="1:5" ht="17">
      <c r="A17" s="22"/>
      <c r="B17" s="23"/>
      <c r="C17" s="23"/>
      <c r="D17" s="23"/>
      <c r="E17" s="24"/>
    </row>
    <row r="18" spans="1:5" ht="17">
      <c r="A18" s="25" t="s">
        <v>18</v>
      </c>
      <c r="B18" s="26">
        <f>(-B43+(SQRT((POWER(B43,2))-4*B42*B44)))/(2*B42)</f>
        <v>109.54736571527313</v>
      </c>
      <c r="C18" s="27" t="s">
        <v>19</v>
      </c>
      <c r="D18" s="28"/>
      <c r="E18" s="24"/>
    </row>
    <row r="19" spans="1:5" ht="19">
      <c r="A19" s="25" t="s">
        <v>20</v>
      </c>
      <c r="B19" s="26">
        <f>B18*20.9/100</f>
        <v>22.895399434492084</v>
      </c>
      <c r="C19" s="27" t="s">
        <v>19</v>
      </c>
      <c r="D19" s="28"/>
      <c r="E19" s="24"/>
    </row>
    <row r="20" spans="1:5" ht="19">
      <c r="A20" s="25" t="s">
        <v>21</v>
      </c>
      <c r="B20" s="29">
        <f>($B$13-EXP(52.57-6690.9/(273.15+$B$12)-4.681*LN(273.15+$B$12)))*$B$18/100*0.2095</f>
        <v>227.76580815035541</v>
      </c>
      <c r="C20" s="27" t="s">
        <v>22</v>
      </c>
      <c r="D20" s="28"/>
      <c r="E20" s="24"/>
    </row>
    <row r="21" spans="1:5" ht="19">
      <c r="A21" s="25" t="s">
        <v>23</v>
      </c>
      <c r="B21" s="29">
        <f>B20/1.33322</f>
        <v>170.83887741734702</v>
      </c>
      <c r="C21" s="27" t="s">
        <v>24</v>
      </c>
      <c r="D21" s="28"/>
      <c r="E21" s="24"/>
    </row>
    <row r="22" spans="1:5" ht="19">
      <c r="A22" s="25" t="s">
        <v>25</v>
      </c>
      <c r="B22" s="26">
        <f>(($B$13-EXP(52.57-6690.9/(273.15+$B$12)-4.681*LN(273.15+$B$12)))/1013)*$B$18/100*0.2095*((49-1.335*B12+0.02759*POWER(B12,2)-0.0003235*POWER(B12,3)+0.000001614*POWER(B12,4))-(B45*
((5.516*10^-1-1.759*10^-2*B12+2.253*10^-4*POWER(B12,2)-2.654*10^-7*POWER(B12,3)+5.362*10^-8*POWER(B12,4)))))*32/22.414</f>
        <v>8.557851094505331</v>
      </c>
      <c r="C22" s="27" t="s">
        <v>26</v>
      </c>
      <c r="D22" s="27"/>
      <c r="E22" s="24"/>
    </row>
    <row r="23" spans="1:5" ht="19">
      <c r="A23" s="25" t="s">
        <v>27</v>
      </c>
      <c r="B23" s="26">
        <f>B22</f>
        <v>8.557851094505331</v>
      </c>
      <c r="C23" s="27" t="s">
        <v>28</v>
      </c>
      <c r="D23" s="28"/>
      <c r="E23" s="24"/>
    </row>
    <row r="24" spans="1:5" ht="20" thickBot="1">
      <c r="A24" s="30" t="s">
        <v>29</v>
      </c>
      <c r="B24" s="31">
        <f>B22*31.25</f>
        <v>267.4328467032916</v>
      </c>
      <c r="C24" s="32" t="s">
        <v>30</v>
      </c>
      <c r="D24" s="33"/>
      <c r="E24" s="34"/>
    </row>
    <row r="25" spans="1:5" ht="18" thickBot="1">
      <c r="A25" s="35"/>
      <c r="B25" s="36"/>
      <c r="C25" s="35"/>
      <c r="D25" s="1"/>
      <c r="E25" s="37"/>
    </row>
    <row r="26" spans="1:5" ht="13" thickBot="1">
      <c r="A26" s="38" t="s">
        <v>31</v>
      </c>
      <c r="B26" s="39"/>
      <c r="C26" s="39"/>
      <c r="D26" s="39"/>
      <c r="E26" s="40"/>
    </row>
    <row r="27" spans="1:5">
      <c r="A27" s="41" t="s">
        <v>32</v>
      </c>
      <c r="B27" s="79">
        <v>0.80100000000000005</v>
      </c>
      <c r="C27" s="43"/>
      <c r="D27" s="43"/>
      <c r="E27" s="44"/>
    </row>
    <row r="28" spans="1:5">
      <c r="A28" s="45" t="s">
        <v>33</v>
      </c>
      <c r="B28" s="42">
        <v>-0.08</v>
      </c>
      <c r="C28" s="43"/>
      <c r="D28" s="43"/>
      <c r="E28" s="44"/>
    </row>
    <row r="29" spans="1:5">
      <c r="A29" s="45" t="s">
        <v>34</v>
      </c>
      <c r="B29" s="42">
        <v>3.8299999999999999E-4</v>
      </c>
      <c r="C29" s="43"/>
      <c r="D29" s="43"/>
      <c r="E29" s="44"/>
    </row>
    <row r="30" spans="1:5">
      <c r="A30" s="41" t="s">
        <v>35</v>
      </c>
      <c r="B30" s="42">
        <v>22.9</v>
      </c>
      <c r="C30" s="43"/>
      <c r="D30" s="43"/>
      <c r="E30" s="44"/>
    </row>
    <row r="31" spans="1:5">
      <c r="A31" s="41" t="s">
        <v>36</v>
      </c>
      <c r="B31" s="46">
        <f>TAN(((B7+B28*(B11-B10)))*PI()/180)</f>
        <v>1.6677060446752692</v>
      </c>
      <c r="C31" s="42"/>
      <c r="D31" s="42"/>
      <c r="E31" s="44"/>
    </row>
    <row r="32" spans="1:5">
      <c r="A32" s="41" t="s">
        <v>37</v>
      </c>
      <c r="B32" s="46">
        <f>TAN((B7+(B28*(B12-B10)))*PI()/180)</f>
        <v>1.6677060446752692</v>
      </c>
      <c r="C32" s="42"/>
      <c r="D32" s="42"/>
      <c r="E32" s="44"/>
    </row>
    <row r="33" spans="1:5">
      <c r="A33" s="41" t="s">
        <v>38</v>
      </c>
      <c r="B33" s="46">
        <f>TAN(B8*PI()/180)</f>
        <v>0.60204896821573484</v>
      </c>
      <c r="C33" s="42"/>
      <c r="D33" s="42"/>
      <c r="E33" s="44"/>
    </row>
    <row r="34" spans="1:5">
      <c r="A34" s="41" t="s">
        <v>39</v>
      </c>
      <c r="B34" s="46">
        <f>TAN(B9*PI()/180)</f>
        <v>0.57735026918962573</v>
      </c>
      <c r="C34" s="42"/>
      <c r="D34" s="42"/>
      <c r="E34" s="44"/>
    </row>
    <row r="35" spans="1:5">
      <c r="A35" s="41" t="s">
        <v>40</v>
      </c>
      <c r="B35" s="47">
        <f>(-B39+(SQRT(POWER(B39,2)-4*B38*B40)))/(2*B38)</f>
        <v>3.2842374310849687E-2</v>
      </c>
      <c r="C35" s="42"/>
      <c r="D35" s="42"/>
      <c r="E35" s="44"/>
    </row>
    <row r="36" spans="1:5">
      <c r="A36" s="41" t="s">
        <v>41</v>
      </c>
      <c r="B36" s="46">
        <f>B35+(B29*(B12-B11))</f>
        <v>3.2842374310849687E-2</v>
      </c>
      <c r="C36" s="42"/>
      <c r="D36" s="42"/>
      <c r="E36" s="44"/>
    </row>
    <row r="37" spans="1:5">
      <c r="A37" s="41"/>
      <c r="B37" s="46"/>
      <c r="C37" s="42"/>
      <c r="D37" s="42"/>
      <c r="E37" s="44"/>
    </row>
    <row r="38" spans="1:5">
      <c r="A38" s="48" t="s">
        <v>42</v>
      </c>
      <c r="B38" s="47">
        <f>B33/B31*1/B30*POWER(100,2)</f>
        <v>157.6437768571989</v>
      </c>
      <c r="C38" s="47"/>
      <c r="D38" s="47"/>
      <c r="E38" s="44"/>
    </row>
    <row r="39" spans="1:5">
      <c r="A39" s="48" t="s">
        <v>43</v>
      </c>
      <c r="B39" s="47">
        <f>B33/B31*100+B33/B31*1/B30*100-B27*1/B30*100-100+B27*100</f>
        <v>14.27904607498408</v>
      </c>
      <c r="C39" s="47"/>
      <c r="D39" s="47"/>
      <c r="E39" s="44"/>
    </row>
    <row r="40" spans="1:5">
      <c r="A40" s="48" t="s">
        <v>44</v>
      </c>
      <c r="B40" s="47">
        <f>B33/B31-1</f>
        <v>-0.63899575099701456</v>
      </c>
      <c r="C40" s="47"/>
      <c r="D40" s="47"/>
      <c r="E40" s="49"/>
    </row>
    <row r="41" spans="1:5">
      <c r="A41" s="48"/>
      <c r="B41" s="47"/>
      <c r="C41" s="47"/>
      <c r="D41" s="47"/>
      <c r="E41" s="49"/>
    </row>
    <row r="42" spans="1:5">
      <c r="A42" s="48" t="s">
        <v>45</v>
      </c>
      <c r="B42" s="50">
        <f>B34/B32*1/B30*POWER(B36,2)</f>
        <v>1.6306226872201851E-5</v>
      </c>
      <c r="C42" s="50"/>
      <c r="D42" s="47"/>
      <c r="E42" s="49"/>
    </row>
    <row r="43" spans="1:5">
      <c r="A43" s="48" t="s">
        <v>46</v>
      </c>
      <c r="B43" s="47">
        <f>B34/B32*B36+B34/B32*1/B30*B36-B27*1/B30*B36-B36+B27*B36</f>
        <v>4.1819427805990794E-3</v>
      </c>
      <c r="C43" s="47"/>
      <c r="D43" s="47"/>
      <c r="E43" s="49"/>
    </row>
    <row r="44" spans="1:5">
      <c r="A44" s="48" t="s">
        <v>47</v>
      </c>
      <c r="B44" s="47">
        <f>B34/B32-1</f>
        <v>-0.65380573450997725</v>
      </c>
      <c r="C44" s="47"/>
      <c r="D44" s="47"/>
      <c r="E44" s="49"/>
    </row>
    <row r="45" spans="1:5" ht="13" thickBot="1">
      <c r="A45" s="90" t="s">
        <v>69</v>
      </c>
      <c r="B45" s="104">
        <f>(B14-0.03)/1.805</f>
        <v>17.878116343490301</v>
      </c>
      <c r="C45" s="91"/>
      <c r="D45" s="91"/>
      <c r="E45" s="105"/>
    </row>
  </sheetData>
  <mergeCells count="2">
    <mergeCell ref="A4:D4"/>
    <mergeCell ref="A3:E3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0" verticalDpi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5"/>
  <sheetViews>
    <sheetView tabSelected="1" workbookViewId="0"/>
  </sheetViews>
  <sheetFormatPr baseColWidth="10" defaultRowHeight="12" x14ac:dyDescent="0"/>
  <cols>
    <col min="2" max="2" width="16" customWidth="1"/>
    <col min="4" max="4" width="19.1640625" customWidth="1"/>
    <col min="17" max="17" width="11.5" bestFit="1" customWidth="1"/>
    <col min="18" max="18" width="12.83203125" customWidth="1"/>
  </cols>
  <sheetData>
    <row r="1" spans="1:18">
      <c r="A1" s="1" t="s">
        <v>72</v>
      </c>
      <c r="D1" s="2"/>
      <c r="E1" s="2">
        <v>39536</v>
      </c>
    </row>
    <row r="2" spans="1:18">
      <c r="A2" s="1" t="s">
        <v>0</v>
      </c>
      <c r="D2" s="2"/>
      <c r="E2" s="2"/>
    </row>
    <row r="3" spans="1:18" ht="18">
      <c r="A3" s="127" t="s">
        <v>73</v>
      </c>
      <c r="B3" s="127"/>
      <c r="C3" s="127"/>
      <c r="D3" s="127"/>
      <c r="E3" s="129"/>
      <c r="F3" s="129"/>
      <c r="G3" s="130"/>
      <c r="H3" s="130"/>
      <c r="I3" s="130"/>
      <c r="J3" s="130"/>
    </row>
    <row r="4" spans="1:18" ht="15">
      <c r="A4" s="126" t="s">
        <v>1</v>
      </c>
      <c r="B4" s="126"/>
      <c r="C4" s="126"/>
      <c r="D4" s="126"/>
      <c r="E4" s="130"/>
      <c r="F4" s="130"/>
      <c r="G4" s="130"/>
      <c r="H4" s="130"/>
      <c r="I4" s="130"/>
      <c r="J4" s="130"/>
    </row>
    <row r="5" spans="1:18" ht="15">
      <c r="A5" s="3"/>
      <c r="B5" s="3"/>
      <c r="C5" s="3"/>
      <c r="D5" s="54"/>
      <c r="E5" s="53"/>
      <c r="F5" s="53"/>
      <c r="I5" s="52"/>
    </row>
    <row r="6" spans="1:18" ht="16" thickBot="1">
      <c r="A6" s="55" t="s">
        <v>48</v>
      </c>
      <c r="D6" s="52"/>
      <c r="I6" s="52"/>
    </row>
    <row r="7" spans="1:18">
      <c r="A7" s="56" t="s">
        <v>49</v>
      </c>
      <c r="B7">
        <v>58.62</v>
      </c>
      <c r="C7" s="57" t="s">
        <v>50</v>
      </c>
      <c r="D7" s="58" t="s">
        <v>51</v>
      </c>
      <c r="E7">
        <v>23.3</v>
      </c>
      <c r="F7" s="59" t="s">
        <v>52</v>
      </c>
      <c r="G7" s="60"/>
      <c r="H7" s="60"/>
      <c r="I7" s="61"/>
      <c r="J7" s="60"/>
      <c r="K7" s="60"/>
      <c r="L7" s="60"/>
      <c r="M7" s="60"/>
      <c r="N7" s="60"/>
    </row>
    <row r="8" spans="1:18">
      <c r="A8" s="62" t="s">
        <v>53</v>
      </c>
      <c r="B8">
        <v>31.05</v>
      </c>
      <c r="C8" s="63" t="s">
        <v>50</v>
      </c>
      <c r="D8" s="64" t="s">
        <v>54</v>
      </c>
      <c r="E8">
        <v>17.899999999999999</v>
      </c>
      <c r="F8" s="66" t="s">
        <v>52</v>
      </c>
      <c r="G8" s="60"/>
      <c r="H8" s="60"/>
      <c r="I8" s="61"/>
      <c r="J8" s="60"/>
      <c r="K8" s="60"/>
      <c r="L8" s="60"/>
      <c r="M8" s="60"/>
      <c r="N8" s="60"/>
    </row>
    <row r="9" spans="1:18" ht="13" thickBot="1">
      <c r="A9" s="67" t="s">
        <v>55</v>
      </c>
      <c r="B9" s="68">
        <v>1020</v>
      </c>
      <c r="C9" s="69" t="s">
        <v>56</v>
      </c>
      <c r="D9" s="70"/>
      <c r="E9" s="71"/>
      <c r="F9" s="72"/>
      <c r="G9" s="60"/>
      <c r="H9" s="60"/>
      <c r="I9" s="61"/>
      <c r="J9" s="60"/>
      <c r="K9" s="60"/>
      <c r="L9" s="60"/>
      <c r="M9" s="60"/>
      <c r="N9" s="60"/>
    </row>
    <row r="10" spans="1:18">
      <c r="A10" s="65" t="s">
        <v>68</v>
      </c>
      <c r="B10" s="106">
        <v>32.200000000000003</v>
      </c>
      <c r="C10" s="65" t="s">
        <v>70</v>
      </c>
      <c r="D10" s="107"/>
      <c r="E10" s="65"/>
      <c r="F10" s="65"/>
      <c r="G10" s="60"/>
      <c r="H10" s="60"/>
      <c r="I10" s="61"/>
      <c r="J10" s="60"/>
      <c r="K10" s="60"/>
      <c r="L10" s="60"/>
      <c r="M10" s="60"/>
      <c r="N10" s="60"/>
    </row>
    <row r="11" spans="1:18">
      <c r="A11" s="73"/>
      <c r="B11" s="74"/>
      <c r="C11" s="73"/>
      <c r="D11" s="75"/>
      <c r="E11" s="73"/>
      <c r="F11" s="73"/>
      <c r="G11" s="76"/>
      <c r="H11" s="76"/>
      <c r="I11" s="77"/>
      <c r="J11" s="76"/>
      <c r="K11" s="76"/>
      <c r="L11" s="76"/>
      <c r="M11" s="76"/>
      <c r="N11" s="76"/>
    </row>
    <row r="12" spans="1:18" ht="16" thickBot="1">
      <c r="A12" s="78" t="s">
        <v>31</v>
      </c>
      <c r="D12" s="52"/>
      <c r="I12" s="52"/>
    </row>
    <row r="13" spans="1:18">
      <c r="A13" s="38" t="s">
        <v>32</v>
      </c>
      <c r="B13" s="79">
        <v>0.80100000000000005</v>
      </c>
      <c r="C13" s="80" t="s">
        <v>36</v>
      </c>
      <c r="D13" s="81">
        <f>TAN((($B$7+$B$14*($E$8-$E$7)))*PI()/180)</f>
        <v>1.6677060446752692</v>
      </c>
      <c r="E13" s="82" t="s">
        <v>42</v>
      </c>
      <c r="F13" s="83">
        <f>$D$15/$D$13*1/$B$16*POWER(100,2)</f>
        <v>157.6437768571989</v>
      </c>
      <c r="G13" s="38" t="s">
        <v>40</v>
      </c>
      <c r="H13" s="83">
        <f>(-$F$14+(SQRT(POWER($F$14,2)-4*$F$13*$F$15)))/(2*$F$13)</f>
        <v>3.2842374310849687E-2</v>
      </c>
      <c r="I13" s="84" t="s">
        <v>45</v>
      </c>
      <c r="J13" s="85">
        <f>$D$16/$D$14*1/$B$16*POWER($H$14,2)</f>
        <v>1.6871986515960242E-5</v>
      </c>
    </row>
    <row r="14" spans="1:18">
      <c r="A14" s="45" t="s">
        <v>33</v>
      </c>
      <c r="B14" s="42">
        <v>-0.08</v>
      </c>
      <c r="C14" s="86" t="s">
        <v>37</v>
      </c>
      <c r="D14" s="87">
        <f>TAN(($B$7+($B$14*(G21-$E$7)))*PI()/180)</f>
        <v>1.6666506138052484</v>
      </c>
      <c r="E14" s="48" t="s">
        <v>43</v>
      </c>
      <c r="F14" s="47">
        <f>$D$15/$D$13*100+$D$15/$D$13*1/$B$16*100-$B$13*1/$B$16*100-100+$B$13*100</f>
        <v>14.27904607498408</v>
      </c>
      <c r="G14" s="41" t="s">
        <v>41</v>
      </c>
      <c r="H14" s="46">
        <f>$H$13+($B$15*(G21-$E$8))</f>
        <v>3.291897431084969E-2</v>
      </c>
      <c r="I14" s="88" t="s">
        <v>46</v>
      </c>
      <c r="J14" s="49">
        <f>$D$16/$D$14*$H$14+$D$16/$D$14*1/$B$16*$H$14-$B$13*1/$B$16*$H$14-$H$14+$B$13*$H$14</f>
        <v>4.547163635392603E-3</v>
      </c>
      <c r="P14" s="129" t="s">
        <v>78</v>
      </c>
      <c r="Q14" s="129"/>
      <c r="R14" s="53"/>
    </row>
    <row r="15" spans="1:18" ht="36">
      <c r="A15" s="45" t="s">
        <v>34</v>
      </c>
      <c r="B15" s="42">
        <v>3.8299999999999999E-4</v>
      </c>
      <c r="C15" s="86" t="s">
        <v>38</v>
      </c>
      <c r="D15" s="87">
        <f>TAN($B$8*PI()/180)</f>
        <v>0.60204896821573484</v>
      </c>
      <c r="E15" s="48" t="s">
        <v>44</v>
      </c>
      <c r="F15" s="47">
        <f>$D$15/$D$13-1</f>
        <v>-0.63899575099701456</v>
      </c>
      <c r="G15" s="89"/>
      <c r="H15" s="47"/>
      <c r="I15" s="88" t="s">
        <v>47</v>
      </c>
      <c r="J15" s="49">
        <f>$D$16/$D$14-1</f>
        <v>-0.64345930068365553</v>
      </c>
      <c r="P15" s="113" t="s">
        <v>77</v>
      </c>
      <c r="Q15" s="114" t="s">
        <v>223</v>
      </c>
      <c r="R15" s="115" t="s">
        <v>224</v>
      </c>
    </row>
    <row r="16" spans="1:18" ht="13" thickBot="1">
      <c r="A16" s="90" t="s">
        <v>35</v>
      </c>
      <c r="B16" s="42">
        <v>22.9</v>
      </c>
      <c r="C16" s="92" t="s">
        <v>39</v>
      </c>
      <c r="D16" s="93">
        <f>TAN(E21*PI()/180)</f>
        <v>0.59422877536213792</v>
      </c>
      <c r="E16" s="94"/>
      <c r="F16" s="51"/>
      <c r="G16" s="94"/>
      <c r="H16" s="51"/>
      <c r="I16" s="108" t="s">
        <v>69</v>
      </c>
      <c r="J16" s="105">
        <f>(B10-0.03)/1.805</f>
        <v>17.822714681440445</v>
      </c>
      <c r="P16" s="116">
        <v>2.5999999999999999E-2</v>
      </c>
      <c r="Q16" s="117">
        <v>5.8200000000000002E-2</v>
      </c>
      <c r="R16" s="118">
        <v>-0.13197599999999834</v>
      </c>
    </row>
    <row r="17" spans="1:19">
      <c r="A17" s="73"/>
      <c r="B17" s="1"/>
      <c r="C17" s="95"/>
      <c r="D17" s="96"/>
      <c r="E17" s="97"/>
      <c r="F17" s="97"/>
      <c r="G17" s="97"/>
      <c r="H17" s="97"/>
      <c r="I17" s="98"/>
      <c r="J17" s="97"/>
      <c r="K17" s="99"/>
      <c r="L17" s="99"/>
      <c r="M17" s="99"/>
      <c r="N17" s="99"/>
      <c r="P17" s="53"/>
      <c r="Q17" s="53"/>
      <c r="R17" s="53"/>
    </row>
    <row r="18" spans="1:19">
      <c r="A18" s="73" t="s">
        <v>74</v>
      </c>
      <c r="B18" s="1"/>
      <c r="C18" s="95"/>
      <c r="D18" s="96"/>
      <c r="E18" s="97"/>
      <c r="F18" s="97"/>
      <c r="G18" s="97"/>
      <c r="H18" s="97"/>
      <c r="I18" s="75" t="s">
        <v>71</v>
      </c>
      <c r="J18" s="97"/>
      <c r="K18" s="99"/>
      <c r="L18" s="99"/>
      <c r="M18" s="99"/>
      <c r="N18" s="99"/>
      <c r="P18" s="53"/>
      <c r="Q18" s="53"/>
      <c r="R18" s="53"/>
    </row>
    <row r="19" spans="1:19">
      <c r="D19" s="52"/>
      <c r="I19" s="52"/>
      <c r="P19" s="53"/>
      <c r="Q19" s="110"/>
      <c r="R19" s="53"/>
    </row>
    <row r="20" spans="1:19" ht="24">
      <c r="A20" s="60" t="s">
        <v>57</v>
      </c>
      <c r="B20" s="60" t="s">
        <v>58</v>
      </c>
      <c r="C20" s="60" t="s">
        <v>59</v>
      </c>
      <c r="D20" s="61" t="s">
        <v>60</v>
      </c>
      <c r="E20" s="60" t="s">
        <v>75</v>
      </c>
      <c r="F20" s="60" t="s">
        <v>61</v>
      </c>
      <c r="G20" s="60" t="s">
        <v>76</v>
      </c>
      <c r="I20" s="77" t="s">
        <v>62</v>
      </c>
      <c r="J20" s="76" t="s">
        <v>63</v>
      </c>
      <c r="K20" s="76" t="s">
        <v>64</v>
      </c>
      <c r="L20" s="76" t="s">
        <v>65</v>
      </c>
      <c r="M20" s="100" t="s">
        <v>66</v>
      </c>
      <c r="N20" s="95" t="s">
        <v>67</v>
      </c>
      <c r="P20" s="119" t="s">
        <v>91</v>
      </c>
      <c r="Q20" s="120" t="s">
        <v>86</v>
      </c>
      <c r="R20" s="120" t="s">
        <v>87</v>
      </c>
      <c r="S20" s="121" t="s">
        <v>92</v>
      </c>
    </row>
    <row r="21" spans="1:19">
      <c r="A21" s="101">
        <v>40413</v>
      </c>
      <c r="B21" t="s">
        <v>93</v>
      </c>
      <c r="C21">
        <v>0</v>
      </c>
      <c r="D21">
        <v>302.38</v>
      </c>
      <c r="E21">
        <v>30.72</v>
      </c>
      <c r="F21">
        <v>5945</v>
      </c>
      <c r="G21">
        <v>18.100000000000001</v>
      </c>
      <c r="I21" s="102">
        <f t="shared" ref="I21:I42" si="0">(-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+(SQRT((POWER(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,2))-4*((TAN(E21*PI()/180))/(TAN(($B$7+($B$14*(G21-$E$7)))*PI()/180))*1/$B$16*POWER(($H$13+($B$15*(G21-$E$8))),2))*((TAN(E21*PI()/180))/(TAN(($B$7+($B$14*(G21-$E$7)))*PI()/180))-1))))/(2*((TAN(E21*PI()/180))/(TAN(($B$7+($B$14*(G21-$E$7)))*PI()/180))*1/$B$16*POWER(($H$13+($B$15*(G21-$E$8))),2)))</f>
        <v>102.51420402729916</v>
      </c>
      <c r="J21" s="103">
        <f t="shared" ref="J21:J84" si="1">I21*20.9/100</f>
        <v>21.425468641705525</v>
      </c>
      <c r="K21" s="75">
        <f>($B$9-EXP(52.57-6690.9/(273.15+G21)-4.681*LN(273.15+G21)))*I21/100*0.2095</f>
        <v>214.5902862780172</v>
      </c>
      <c r="L21" s="75">
        <f t="shared" ref="L21:L84" si="2">K21/1.33322</f>
        <v>160.95639600217308</v>
      </c>
      <c r="M21" s="102">
        <f>(($B$9-EXP(52.57-6690.9/(273.15+G21)-4.681*LN(273.15+G21)))/1013)*I21/100*0.2095*((49-1.335*G21+0.02759*POWER(G21,2)-0.0003235*POWER(G21,3)+0.000001614*POWER(G21,4))
-($J$16*(5.516*10^-1-1.759*10^-2*G21+2.253*10^-4*POWER(G21,2)-2.654*10^-7*POWER(G21,3)+5.363*10^-8*POWER(G21,4))))*32/22.414</f>
        <v>8.0397782135630997</v>
      </c>
      <c r="N21" s="102">
        <f t="shared" ref="N21:N84" si="3">M21*31.25</f>
        <v>251.24306917384686</v>
      </c>
      <c r="P21" s="125">
        <f>Q46</f>
        <v>15.51600000000002</v>
      </c>
      <c r="Q21" s="122">
        <f>P21*(6)</f>
        <v>93.096000000000117</v>
      </c>
      <c r="R21" s="123">
        <f>((Q21/1000)*(P16*1000))-R16</f>
        <v>2.5524720000000016</v>
      </c>
      <c r="S21" s="124">
        <f>R21/Q16</f>
        <v>43.856907216494875</v>
      </c>
    </row>
    <row r="22" spans="1:19">
      <c r="A22" s="101">
        <v>40413</v>
      </c>
      <c r="B22" t="s">
        <v>94</v>
      </c>
      <c r="C22">
        <v>0.183</v>
      </c>
      <c r="D22">
        <v>302.38</v>
      </c>
      <c r="E22">
        <v>30.72</v>
      </c>
      <c r="F22">
        <v>5937</v>
      </c>
      <c r="G22">
        <v>18.100000000000001</v>
      </c>
      <c r="I22" s="102">
        <f t="shared" si="0"/>
        <v>102.51420402729916</v>
      </c>
      <c r="J22" s="103">
        <f t="shared" si="1"/>
        <v>21.425468641705525</v>
      </c>
      <c r="K22" s="75">
        <f t="shared" ref="K22:K36" si="4">($B$9-EXP(52.57-6690.9/(273.15+G22)-4.681*LN(273.15+G22)))*I22/100*0.2095</f>
        <v>214.5902862780172</v>
      </c>
      <c r="L22" s="75">
        <f t="shared" si="2"/>
        <v>160.95639600217308</v>
      </c>
      <c r="M22" s="102">
        <f t="shared" ref="M22:M36" si="5">(($B$9-EXP(52.57-6690.9/(273.15+G22)-4.681*LN(273.15+G22)))/1013)*I22/100*0.2095*((49-1.335*G22+0.02759*POWER(G22,2)-0.0003235*POWER(G22,3)+0.000001614*POWER(G22,4))
-($J$16*(5.516*10^-1-1.759*10^-2*G22+2.253*10^-4*POWER(G22,2)-2.654*10^-7*POWER(G22,3)+5.363*10^-8*POWER(G22,4))))*32/22.414</f>
        <v>8.0397782135630997</v>
      </c>
      <c r="N22" s="102">
        <f t="shared" si="3"/>
        <v>251.24306917384686</v>
      </c>
      <c r="P22" s="53"/>
      <c r="Q22" s="53"/>
    </row>
    <row r="23" spans="1:19">
      <c r="A23" s="101">
        <v>40413</v>
      </c>
      <c r="B23" t="s">
        <v>95</v>
      </c>
      <c r="C23">
        <v>0.35099999999999998</v>
      </c>
      <c r="D23">
        <v>302.642</v>
      </c>
      <c r="E23">
        <v>30.71</v>
      </c>
      <c r="F23">
        <v>5932</v>
      </c>
      <c r="G23">
        <v>18.100000000000001</v>
      </c>
      <c r="I23" s="102">
        <f t="shared" si="0"/>
        <v>102.60308043092076</v>
      </c>
      <c r="J23" s="103">
        <f t="shared" si="1"/>
        <v>21.444043810062436</v>
      </c>
      <c r="K23" s="75">
        <f t="shared" si="4"/>
        <v>214.77632891549831</v>
      </c>
      <c r="L23" s="75">
        <f t="shared" si="2"/>
        <v>161.09593984151024</v>
      </c>
      <c r="M23" s="102">
        <f t="shared" si="5"/>
        <v>8.0467484337420192</v>
      </c>
      <c r="N23" s="102">
        <f t="shared" si="3"/>
        <v>251.4608885544381</v>
      </c>
      <c r="P23" s="131" t="s">
        <v>84</v>
      </c>
      <c r="Q23" s="128"/>
      <c r="R23" s="128"/>
      <c r="S23" s="128"/>
    </row>
    <row r="24" spans="1:19">
      <c r="A24" s="101">
        <v>40413</v>
      </c>
      <c r="B24" t="s">
        <v>96</v>
      </c>
      <c r="C24">
        <v>0.51700000000000002</v>
      </c>
      <c r="D24">
        <v>304.221</v>
      </c>
      <c r="E24">
        <v>30.65</v>
      </c>
      <c r="F24">
        <v>5942</v>
      </c>
      <c r="G24">
        <v>18.100000000000001</v>
      </c>
      <c r="I24" s="102">
        <f t="shared" si="0"/>
        <v>103.13816909334425</v>
      </c>
      <c r="J24" s="103">
        <f t="shared" si="1"/>
        <v>21.555877340508946</v>
      </c>
      <c r="K24" s="75">
        <f t="shared" si="4"/>
        <v>215.89641593507858</v>
      </c>
      <c r="L24" s="75">
        <f t="shared" si="2"/>
        <v>161.93607651781295</v>
      </c>
      <c r="M24" s="102">
        <f t="shared" si="5"/>
        <v>8.0887132932587686</v>
      </c>
      <c r="N24" s="102">
        <f t="shared" si="3"/>
        <v>252.77229041433651</v>
      </c>
      <c r="P24" s="53"/>
      <c r="Q24" s="53"/>
      <c r="R24" s="53"/>
    </row>
    <row r="25" spans="1:19">
      <c r="A25" s="101">
        <v>40413</v>
      </c>
      <c r="B25" t="s">
        <v>97</v>
      </c>
      <c r="C25">
        <v>0.68400000000000005</v>
      </c>
      <c r="D25">
        <v>305.80799999999999</v>
      </c>
      <c r="E25">
        <v>30.59</v>
      </c>
      <c r="F25">
        <v>5937</v>
      </c>
      <c r="G25">
        <v>18.100000000000001</v>
      </c>
      <c r="I25" s="102">
        <f t="shared" si="0"/>
        <v>103.67641312852489</v>
      </c>
      <c r="J25" s="103">
        <f t="shared" si="1"/>
        <v>21.668370343861696</v>
      </c>
      <c r="K25" s="75">
        <f t="shared" si="4"/>
        <v>217.02310801343768</v>
      </c>
      <c r="L25" s="75">
        <f t="shared" si="2"/>
        <v>162.78116740930804</v>
      </c>
      <c r="M25" s="102">
        <f t="shared" si="5"/>
        <v>8.1309256160162384</v>
      </c>
      <c r="N25" s="102">
        <f t="shared" si="3"/>
        <v>254.09142550050746</v>
      </c>
      <c r="P25" s="53"/>
      <c r="Q25" s="53"/>
      <c r="R25" s="53"/>
    </row>
    <row r="26" spans="1:19">
      <c r="A26" s="101">
        <v>40413</v>
      </c>
      <c r="B26" t="s">
        <v>98</v>
      </c>
      <c r="C26">
        <v>0.85099999999999998</v>
      </c>
      <c r="D26">
        <v>302.90499999999997</v>
      </c>
      <c r="E26">
        <v>30.7</v>
      </c>
      <c r="F26">
        <v>5933</v>
      </c>
      <c r="G26">
        <v>18.100000000000001</v>
      </c>
      <c r="I26" s="102">
        <f t="shared" si="0"/>
        <v>102.69204379929336</v>
      </c>
      <c r="J26" s="103">
        <f t="shared" si="1"/>
        <v>21.46263715405231</v>
      </c>
      <c r="K26" s="75">
        <f t="shared" si="4"/>
        <v>214.96255359400485</v>
      </c>
      <c r="L26" s="75">
        <f t="shared" si="2"/>
        <v>161.23562022322261</v>
      </c>
      <c r="M26" s="102">
        <f t="shared" si="5"/>
        <v>8.0537254742178597</v>
      </c>
      <c r="N26" s="102">
        <f t="shared" si="3"/>
        <v>251.6789210693081</v>
      </c>
      <c r="P26" s="53"/>
      <c r="Q26" s="53"/>
      <c r="R26" s="53"/>
    </row>
    <row r="27" spans="1:19">
      <c r="A27" s="101">
        <v>40413</v>
      </c>
      <c r="B27" t="s">
        <v>99</v>
      </c>
      <c r="C27">
        <v>1.018</v>
      </c>
      <c r="D27">
        <v>304.221</v>
      </c>
      <c r="E27">
        <v>30.65</v>
      </c>
      <c r="F27">
        <v>5933</v>
      </c>
      <c r="G27">
        <v>18.100000000000001</v>
      </c>
      <c r="I27" s="102">
        <f t="shared" si="0"/>
        <v>103.13816909334425</v>
      </c>
      <c r="J27" s="103">
        <f t="shared" si="1"/>
        <v>21.555877340508946</v>
      </c>
      <c r="K27" s="75">
        <f t="shared" si="4"/>
        <v>215.89641593507858</v>
      </c>
      <c r="L27" s="75">
        <f t="shared" si="2"/>
        <v>161.93607651781295</v>
      </c>
      <c r="M27" s="102">
        <f t="shared" si="5"/>
        <v>8.0887132932587686</v>
      </c>
      <c r="N27" s="102">
        <f t="shared" si="3"/>
        <v>252.77229041433651</v>
      </c>
      <c r="P27" s="53"/>
      <c r="Q27" s="53"/>
      <c r="R27" s="53"/>
    </row>
    <row r="28" spans="1:19">
      <c r="A28" s="101">
        <v>40413</v>
      </c>
      <c r="B28" t="s">
        <v>100</v>
      </c>
      <c r="C28">
        <v>1.1850000000000001</v>
      </c>
      <c r="D28">
        <v>304.74900000000002</v>
      </c>
      <c r="E28">
        <v>30.63</v>
      </c>
      <c r="F28">
        <v>5920</v>
      </c>
      <c r="G28">
        <v>18.100000000000001</v>
      </c>
      <c r="I28" s="102">
        <f t="shared" si="0"/>
        <v>103.31723195235503</v>
      </c>
      <c r="J28" s="103">
        <f t="shared" si="1"/>
        <v>21.5933014780422</v>
      </c>
      <c r="K28" s="75">
        <f t="shared" si="4"/>
        <v>216.27124350694024</v>
      </c>
      <c r="L28" s="75">
        <f t="shared" si="2"/>
        <v>162.21722109399815</v>
      </c>
      <c r="M28" s="102">
        <f t="shared" si="5"/>
        <v>8.1027564757269257</v>
      </c>
      <c r="N28" s="102">
        <f t="shared" si="3"/>
        <v>253.21113986646643</v>
      </c>
      <c r="P28" s="53"/>
      <c r="Q28" s="53"/>
      <c r="R28" s="53"/>
    </row>
    <row r="29" spans="1:19">
      <c r="A29" s="101">
        <v>40413</v>
      </c>
      <c r="B29" t="s">
        <v>101</v>
      </c>
      <c r="C29">
        <v>1.3520000000000001</v>
      </c>
      <c r="D29">
        <v>304.74900000000002</v>
      </c>
      <c r="E29">
        <v>30.63</v>
      </c>
      <c r="F29">
        <v>5915</v>
      </c>
      <c r="G29">
        <v>18.100000000000001</v>
      </c>
      <c r="I29" s="102">
        <f t="shared" si="0"/>
        <v>103.31723195235503</v>
      </c>
      <c r="J29" s="103">
        <f t="shared" si="1"/>
        <v>21.5933014780422</v>
      </c>
      <c r="K29" s="75">
        <f t="shared" si="4"/>
        <v>216.27124350694024</v>
      </c>
      <c r="L29" s="75">
        <f t="shared" si="2"/>
        <v>162.21722109399815</v>
      </c>
      <c r="M29" s="102">
        <f t="shared" si="5"/>
        <v>8.1027564757269257</v>
      </c>
      <c r="N29" s="102">
        <f t="shared" si="3"/>
        <v>253.21113986646643</v>
      </c>
      <c r="P29" s="53"/>
      <c r="Q29" s="53"/>
      <c r="R29" s="53"/>
    </row>
    <row r="30" spans="1:19">
      <c r="A30" s="101">
        <v>40413</v>
      </c>
      <c r="B30" t="s">
        <v>102</v>
      </c>
      <c r="C30">
        <v>1.5189999999999999</v>
      </c>
      <c r="D30">
        <v>304.48500000000001</v>
      </c>
      <c r="E30">
        <v>30.64</v>
      </c>
      <c r="F30">
        <v>5921</v>
      </c>
      <c r="G30">
        <v>18.100000000000001</v>
      </c>
      <c r="I30" s="102">
        <f t="shared" si="0"/>
        <v>103.22765664117941</v>
      </c>
      <c r="J30" s="103">
        <f t="shared" si="1"/>
        <v>21.574580238006497</v>
      </c>
      <c r="K30" s="75">
        <f t="shared" si="4"/>
        <v>216.08373786466359</v>
      </c>
      <c r="L30" s="75">
        <f t="shared" si="2"/>
        <v>162.07657990778984</v>
      </c>
      <c r="M30" s="102">
        <f t="shared" si="5"/>
        <v>8.0957314430292975</v>
      </c>
      <c r="N30" s="102">
        <f t="shared" si="3"/>
        <v>252.99160759466554</v>
      </c>
      <c r="P30" s="53"/>
      <c r="Q30" s="53"/>
      <c r="R30" s="53"/>
    </row>
    <row r="31" spans="1:19">
      <c r="A31" s="101">
        <v>40413</v>
      </c>
      <c r="B31" t="s">
        <v>103</v>
      </c>
      <c r="C31">
        <v>1.6859999999999999</v>
      </c>
      <c r="D31">
        <v>302.642</v>
      </c>
      <c r="E31">
        <v>30.71</v>
      </c>
      <c r="F31">
        <v>5920</v>
      </c>
      <c r="G31">
        <v>18.100000000000001</v>
      </c>
      <c r="I31" s="102">
        <f t="shared" si="0"/>
        <v>102.60308043092076</v>
      </c>
      <c r="J31" s="103">
        <f t="shared" si="1"/>
        <v>21.444043810062436</v>
      </c>
      <c r="K31" s="75">
        <f t="shared" si="4"/>
        <v>214.77632891549831</v>
      </c>
      <c r="L31" s="75">
        <f t="shared" si="2"/>
        <v>161.09593984151024</v>
      </c>
      <c r="M31" s="102">
        <f t="shared" si="5"/>
        <v>8.0467484337420192</v>
      </c>
      <c r="N31" s="102">
        <f t="shared" si="3"/>
        <v>251.4608885544381</v>
      </c>
      <c r="P31" s="53"/>
      <c r="Q31" s="53"/>
      <c r="R31" s="53"/>
    </row>
    <row r="32" spans="1:19">
      <c r="A32" s="101">
        <v>40413</v>
      </c>
      <c r="B32" t="s">
        <v>104</v>
      </c>
      <c r="C32">
        <v>1.853</v>
      </c>
      <c r="D32">
        <v>304.48500000000001</v>
      </c>
      <c r="E32">
        <v>30.64</v>
      </c>
      <c r="F32">
        <v>5915</v>
      </c>
      <c r="G32">
        <v>18.100000000000001</v>
      </c>
      <c r="I32" s="102">
        <f t="shared" si="0"/>
        <v>103.22765664117941</v>
      </c>
      <c r="J32" s="103">
        <f t="shared" si="1"/>
        <v>21.574580238006497</v>
      </c>
      <c r="K32" s="75">
        <f t="shared" si="4"/>
        <v>216.08373786466359</v>
      </c>
      <c r="L32" s="75">
        <f t="shared" si="2"/>
        <v>162.07657990778984</v>
      </c>
      <c r="M32" s="102">
        <f t="shared" si="5"/>
        <v>8.0957314430292975</v>
      </c>
      <c r="N32" s="102">
        <f t="shared" si="3"/>
        <v>252.99160759466554</v>
      </c>
      <c r="P32" s="53"/>
      <c r="Q32" s="53"/>
      <c r="R32" s="53"/>
    </row>
    <row r="33" spans="1:18">
      <c r="A33" s="101">
        <v>40413</v>
      </c>
      <c r="B33" t="s">
        <v>105</v>
      </c>
      <c r="C33">
        <v>2.02</v>
      </c>
      <c r="D33">
        <v>307.94</v>
      </c>
      <c r="E33">
        <v>30.51</v>
      </c>
      <c r="F33">
        <v>5907</v>
      </c>
      <c r="G33">
        <v>18.100000000000001</v>
      </c>
      <c r="I33" s="102">
        <f t="shared" si="0"/>
        <v>104.39902317829187</v>
      </c>
      <c r="J33" s="103">
        <f t="shared" si="1"/>
        <v>21.819395844262999</v>
      </c>
      <c r="K33" s="75">
        <f t="shared" si="4"/>
        <v>218.53572861970582</v>
      </c>
      <c r="L33" s="75">
        <f t="shared" si="2"/>
        <v>163.91572930177</v>
      </c>
      <c r="M33" s="102">
        <f t="shared" si="5"/>
        <v>8.1875970264821625</v>
      </c>
      <c r="N33" s="102">
        <f t="shared" si="3"/>
        <v>255.86240707756758</v>
      </c>
      <c r="P33" s="53"/>
      <c r="Q33" s="53"/>
      <c r="R33" s="53"/>
    </row>
    <row r="34" spans="1:18">
      <c r="A34" s="101">
        <v>40413</v>
      </c>
      <c r="B34" t="s">
        <v>106</v>
      </c>
      <c r="C34">
        <v>2.1859999999999999</v>
      </c>
      <c r="D34">
        <v>306.07400000000001</v>
      </c>
      <c r="E34">
        <v>30.58</v>
      </c>
      <c r="F34">
        <v>5907</v>
      </c>
      <c r="G34">
        <v>18.100000000000001</v>
      </c>
      <c r="I34" s="102">
        <f t="shared" si="0"/>
        <v>103.76642898146724</v>
      </c>
      <c r="J34" s="103">
        <f t="shared" si="1"/>
        <v>21.687183657126653</v>
      </c>
      <c r="K34" s="75">
        <f t="shared" si="4"/>
        <v>217.21153583020458</v>
      </c>
      <c r="L34" s="75">
        <f t="shared" si="2"/>
        <v>162.92250028517768</v>
      </c>
      <c r="M34" s="102">
        <f t="shared" si="5"/>
        <v>8.1379851986392335</v>
      </c>
      <c r="N34" s="102">
        <f t="shared" si="3"/>
        <v>254.31203745747604</v>
      </c>
      <c r="P34" s="53"/>
      <c r="Q34" s="53"/>
      <c r="R34" s="53"/>
    </row>
    <row r="35" spans="1:18">
      <c r="A35" s="101">
        <v>40413</v>
      </c>
      <c r="B35" t="s">
        <v>107</v>
      </c>
      <c r="C35">
        <v>2.3530000000000002</v>
      </c>
      <c r="D35">
        <v>306.07400000000001</v>
      </c>
      <c r="E35">
        <v>30.58</v>
      </c>
      <c r="F35">
        <v>5907</v>
      </c>
      <c r="G35">
        <v>18.100000000000001</v>
      </c>
      <c r="I35" s="102">
        <f t="shared" si="0"/>
        <v>103.76642898146724</v>
      </c>
      <c r="J35" s="103">
        <f t="shared" si="1"/>
        <v>21.687183657126653</v>
      </c>
      <c r="K35" s="75">
        <f t="shared" si="4"/>
        <v>217.21153583020458</v>
      </c>
      <c r="L35" s="75">
        <f t="shared" si="2"/>
        <v>162.92250028517768</v>
      </c>
      <c r="M35" s="102">
        <f t="shared" si="5"/>
        <v>8.1379851986392335</v>
      </c>
      <c r="N35" s="102">
        <f t="shared" si="3"/>
        <v>254.31203745747604</v>
      </c>
      <c r="P35" s="53"/>
      <c r="Q35" s="53"/>
      <c r="R35" s="53"/>
    </row>
    <row r="36" spans="1:18">
      <c r="A36" s="101">
        <v>40413</v>
      </c>
      <c r="B36" t="s">
        <v>108</v>
      </c>
      <c r="C36">
        <v>2.52</v>
      </c>
      <c r="D36">
        <v>307.673</v>
      </c>
      <c r="E36">
        <v>30.52</v>
      </c>
      <c r="F36">
        <v>5907</v>
      </c>
      <c r="G36">
        <v>18.100000000000001</v>
      </c>
      <c r="I36" s="102">
        <f t="shared" si="0"/>
        <v>104.30838570501659</v>
      </c>
      <c r="J36" s="103">
        <f t="shared" si="1"/>
        <v>21.800452612348469</v>
      </c>
      <c r="K36" s="75">
        <f t="shared" si="4"/>
        <v>218.34599958145006</v>
      </c>
      <c r="L36" s="75">
        <f t="shared" si="2"/>
        <v>163.7734204268238</v>
      </c>
      <c r="M36" s="102">
        <f t="shared" si="5"/>
        <v>8.1804886926674936</v>
      </c>
      <c r="N36" s="102">
        <f t="shared" si="3"/>
        <v>255.64027164585917</v>
      </c>
      <c r="P36" s="53"/>
      <c r="Q36" s="53"/>
      <c r="R36" s="53"/>
    </row>
    <row r="37" spans="1:18">
      <c r="A37" s="101">
        <v>40413</v>
      </c>
      <c r="B37" t="s">
        <v>109</v>
      </c>
      <c r="C37">
        <v>2.6869999999999998</v>
      </c>
      <c r="D37">
        <v>307.40499999999997</v>
      </c>
      <c r="E37">
        <v>30.53</v>
      </c>
      <c r="F37">
        <v>5894</v>
      </c>
      <c r="G37">
        <v>18.100000000000001</v>
      </c>
      <c r="I37" s="102">
        <f t="shared" si="0"/>
        <v>104.21783738384585</v>
      </c>
      <c r="J37" s="103">
        <f t="shared" si="1"/>
        <v>21.781528013223777</v>
      </c>
      <c r="K37" s="75">
        <f t="shared" ref="K37:K42" si="6">($B$9-EXP(52.57-6690.9/(273.15+G37)-4.681*LN(273.15+G37)))*I37/100*0.2095</f>
        <v>218.15645716294918</v>
      </c>
      <c r="L37" s="75">
        <f t="shared" si="2"/>
        <v>163.6312515285918</v>
      </c>
      <c r="M37" s="102">
        <f t="shared" ref="M37:M42" si="7">(($B$9-EXP(52.57-6690.9/(273.15+G37)-4.681*LN(273.15+G37)))/1013)*I37/100*0.2095*((49-1.335*G37+0.02759*POWER(G37,2)-0.0003235*POWER(G37,3)+0.000001614*POWER(G37,4))
-($J$16*(5.516*10^-1-1.759*10^-2*G37+2.253*10^-4*POWER(G37,2)-2.654*10^-7*POWER(G37,3)+5.363*10^-8*POWER(G37,4))))*32/22.414</f>
        <v>8.1733873506951227</v>
      </c>
      <c r="N37" s="102">
        <f t="shared" si="3"/>
        <v>255.41835470922257</v>
      </c>
      <c r="P37" s="53"/>
      <c r="Q37" s="53"/>
      <c r="R37" s="53"/>
    </row>
    <row r="38" spans="1:18">
      <c r="A38" s="101">
        <v>40413</v>
      </c>
      <c r="B38" t="s">
        <v>110</v>
      </c>
      <c r="C38">
        <v>2.8540000000000001</v>
      </c>
      <c r="D38">
        <v>309.67899999999997</v>
      </c>
      <c r="E38">
        <v>30.49</v>
      </c>
      <c r="F38">
        <v>5899</v>
      </c>
      <c r="G38">
        <v>18</v>
      </c>
      <c r="I38" s="102">
        <f t="shared" si="0"/>
        <v>104.77453263574284</v>
      </c>
      <c r="J38" s="103">
        <f t="shared" si="1"/>
        <v>21.897877320870251</v>
      </c>
      <c r="K38" s="75">
        <f t="shared" si="6"/>
        <v>219.35040162242618</v>
      </c>
      <c r="L38" s="75">
        <f t="shared" si="2"/>
        <v>164.52678599362909</v>
      </c>
      <c r="M38" s="102">
        <f t="shared" si="7"/>
        <v>8.2325422237169175</v>
      </c>
      <c r="N38" s="102">
        <f t="shared" si="3"/>
        <v>257.26694449115365</v>
      </c>
      <c r="P38" s="53"/>
      <c r="Q38" s="53"/>
      <c r="R38" s="53"/>
    </row>
    <row r="39" spans="1:18">
      <c r="A39" s="101">
        <v>40413</v>
      </c>
      <c r="B39" t="s">
        <v>111</v>
      </c>
      <c r="C39">
        <v>3.0209999999999999</v>
      </c>
      <c r="D39">
        <v>309.142</v>
      </c>
      <c r="E39">
        <v>30.51</v>
      </c>
      <c r="F39">
        <v>5890</v>
      </c>
      <c r="G39">
        <v>18</v>
      </c>
      <c r="I39" s="102">
        <f t="shared" si="0"/>
        <v>104.59266421487452</v>
      </c>
      <c r="J39" s="103">
        <f t="shared" si="1"/>
        <v>21.859866820908774</v>
      </c>
      <c r="K39" s="75">
        <f t="shared" si="6"/>
        <v>218.96965154741892</v>
      </c>
      <c r="L39" s="75">
        <f t="shared" si="2"/>
        <v>164.24119916249299</v>
      </c>
      <c r="M39" s="102">
        <f t="shared" si="7"/>
        <v>8.2182521150779735</v>
      </c>
      <c r="N39" s="102">
        <f t="shared" si="3"/>
        <v>256.82037859618669</v>
      </c>
      <c r="P39" s="53"/>
      <c r="Q39" s="53"/>
      <c r="R39" s="53"/>
    </row>
    <row r="40" spans="1:18">
      <c r="A40" s="101">
        <v>40413</v>
      </c>
      <c r="B40" t="s">
        <v>112</v>
      </c>
      <c r="C40">
        <v>3.1880000000000002</v>
      </c>
      <c r="D40">
        <v>310.488</v>
      </c>
      <c r="E40">
        <v>30.46</v>
      </c>
      <c r="F40">
        <v>5894</v>
      </c>
      <c r="G40">
        <v>18</v>
      </c>
      <c r="I40" s="102">
        <f t="shared" si="0"/>
        <v>105.0480080439242</v>
      </c>
      <c r="J40" s="103">
        <f t="shared" si="1"/>
        <v>21.955033681180158</v>
      </c>
      <c r="K40" s="75">
        <f t="shared" si="6"/>
        <v>219.92293522490937</v>
      </c>
      <c r="L40" s="75">
        <f t="shared" si="2"/>
        <v>164.95622269761131</v>
      </c>
      <c r="M40" s="102">
        <f t="shared" si="7"/>
        <v>8.2540302493693751</v>
      </c>
      <c r="N40" s="102">
        <f t="shared" si="3"/>
        <v>257.93844529279295</v>
      </c>
      <c r="P40" s="53"/>
      <c r="Q40" s="53"/>
      <c r="R40" s="53"/>
    </row>
    <row r="41" spans="1:18">
      <c r="A41" s="101">
        <v>40413</v>
      </c>
      <c r="B41" t="s">
        <v>113</v>
      </c>
      <c r="C41">
        <v>3.355</v>
      </c>
      <c r="D41">
        <v>310.75799999999998</v>
      </c>
      <c r="E41">
        <v>30.45</v>
      </c>
      <c r="F41">
        <v>5894</v>
      </c>
      <c r="G41">
        <v>18</v>
      </c>
      <c r="I41" s="102">
        <f t="shared" si="0"/>
        <v>105.13934639141048</v>
      </c>
      <c r="J41" s="103">
        <f t="shared" si="1"/>
        <v>21.974123395804792</v>
      </c>
      <c r="K41" s="75">
        <f t="shared" si="6"/>
        <v>220.11415634229959</v>
      </c>
      <c r="L41" s="75">
        <f t="shared" si="2"/>
        <v>165.09965072703648</v>
      </c>
      <c r="M41" s="102">
        <f t="shared" si="7"/>
        <v>8.2612070583076651</v>
      </c>
      <c r="N41" s="102">
        <f t="shared" si="3"/>
        <v>258.16272057211455</v>
      </c>
      <c r="P41" s="53"/>
      <c r="Q41" s="53"/>
      <c r="R41" s="53"/>
    </row>
    <row r="42" spans="1:18">
      <c r="A42" s="101">
        <v>40413</v>
      </c>
      <c r="B42" t="s">
        <v>114</v>
      </c>
      <c r="C42">
        <v>3.5219999999999998</v>
      </c>
      <c r="D42">
        <v>309.142</v>
      </c>
      <c r="E42">
        <v>30.51</v>
      </c>
      <c r="F42">
        <v>5885</v>
      </c>
      <c r="G42">
        <v>18</v>
      </c>
      <c r="I42" s="102">
        <f t="shared" si="0"/>
        <v>104.59266421487452</v>
      </c>
      <c r="J42" s="103">
        <f t="shared" si="1"/>
        <v>21.859866820908774</v>
      </c>
      <c r="K42" s="75">
        <f t="shared" si="6"/>
        <v>218.96965154741892</v>
      </c>
      <c r="L42" s="75">
        <f t="shared" si="2"/>
        <v>164.24119916249299</v>
      </c>
      <c r="M42" s="102">
        <f t="shared" si="7"/>
        <v>8.2182521150779735</v>
      </c>
      <c r="N42" s="102">
        <f t="shared" si="3"/>
        <v>256.82037859618669</v>
      </c>
      <c r="P42" s="53"/>
      <c r="Q42" s="53"/>
      <c r="R42" s="53"/>
    </row>
    <row r="43" spans="1:18" ht="24">
      <c r="A43" s="101">
        <v>40413</v>
      </c>
      <c r="B43" t="s">
        <v>115</v>
      </c>
      <c r="C43">
        <v>3.6890000000000001</v>
      </c>
      <c r="D43">
        <v>311.83999999999997</v>
      </c>
      <c r="E43">
        <v>30.41</v>
      </c>
      <c r="F43">
        <v>5884</v>
      </c>
      <c r="G43">
        <v>18</v>
      </c>
      <c r="I43" s="102">
        <f t="shared" ref="I43:I83" si="8">(-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+(SQRT((POWER(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,2))-4*((TAN(E43*PI()/180))/(TAN(($B$7+($B$14*(G43-$E$7)))*PI()/180))*1/$B$16*POWER(($H$13+($B$15*(G43-$E$8))),2))*((TAN(E43*PI()/180))/(TAN(($B$7+($B$14*(G43-$E$7)))*PI()/180))-1))))/(2*((TAN(E43*PI()/180))/(TAN(($B$7+($B$14*(G43-$E$7)))*PI()/180))*1/$B$16*POWER(($H$13+($B$15*(G43-$E$8))),2)))</f>
        <v>105.50560232318657</v>
      </c>
      <c r="J43" s="103">
        <f t="shared" si="1"/>
        <v>22.050670885545991</v>
      </c>
      <c r="K43" s="75">
        <f t="shared" ref="K43:K83" si="9">($B$9-EXP(52.57-6690.9/(273.15+G43)-4.681*LN(273.15+G43)))*I43/100*0.2095</f>
        <v>220.880930325544</v>
      </c>
      <c r="L43" s="75">
        <f t="shared" si="2"/>
        <v>165.67478010046653</v>
      </c>
      <c r="M43" s="102">
        <f t="shared" ref="M43:M83" si="10">(($B$9-EXP(52.57-6690.9/(273.15+G43)-4.681*LN(273.15+G43)))/1013)*I43/100*0.2095*((49-1.335*G43+0.02759*POWER(G43,2)-0.0003235*POWER(G43,3)+0.000001614*POWER(G43,4))
-($J$16*(5.516*10^-1-1.759*10^-2*G43+2.253*10^-4*POWER(G43,2)-2.654*10^-7*POWER(G43,3)+5.363*10^-8*POWER(G43,4))))*32/22.414</f>
        <v>8.2899852102801095</v>
      </c>
      <c r="N43" s="102">
        <f t="shared" si="3"/>
        <v>259.0620378212534</v>
      </c>
      <c r="P43" s="53"/>
      <c r="Q43" s="110" t="s">
        <v>81</v>
      </c>
      <c r="R43" s="110" t="s">
        <v>82</v>
      </c>
    </row>
    <row r="44" spans="1:18" ht="24">
      <c r="A44" s="101">
        <v>40413</v>
      </c>
      <c r="B44" t="s">
        <v>116</v>
      </c>
      <c r="C44">
        <v>3.8559999999999999</v>
      </c>
      <c r="D44">
        <v>311.56900000000002</v>
      </c>
      <c r="E44">
        <v>30.42</v>
      </c>
      <c r="F44">
        <v>5889</v>
      </c>
      <c r="G44">
        <v>18</v>
      </c>
      <c r="I44" s="102">
        <f t="shared" si="8"/>
        <v>105.41390272199034</v>
      </c>
      <c r="J44" s="103">
        <f t="shared" si="1"/>
        <v>22.031505668895978</v>
      </c>
      <c r="K44" s="75">
        <f t="shared" si="9"/>
        <v>220.68895290655675</v>
      </c>
      <c r="L44" s="75">
        <f t="shared" si="2"/>
        <v>165.53078479662526</v>
      </c>
      <c r="M44" s="102">
        <f t="shared" si="10"/>
        <v>8.2827800162338612</v>
      </c>
      <c r="N44" s="102">
        <f t="shared" si="3"/>
        <v>258.83687550730815</v>
      </c>
      <c r="P44" s="110" t="s">
        <v>88</v>
      </c>
      <c r="Q44" s="53">
        <f>0.2586*61+252.99</f>
        <v>268.76460000000003</v>
      </c>
      <c r="R44" s="110" t="s">
        <v>79</v>
      </c>
    </row>
    <row r="45" spans="1:18" ht="24">
      <c r="A45" s="101">
        <v>40413</v>
      </c>
      <c r="B45" t="s">
        <v>117</v>
      </c>
      <c r="C45">
        <v>4.0229999999999997</v>
      </c>
      <c r="D45">
        <v>310.488</v>
      </c>
      <c r="E45">
        <v>30.46</v>
      </c>
      <c r="F45">
        <v>5888</v>
      </c>
      <c r="G45">
        <v>18</v>
      </c>
      <c r="I45" s="102">
        <f t="shared" si="8"/>
        <v>105.0480080439242</v>
      </c>
      <c r="J45" s="103">
        <f t="shared" si="1"/>
        <v>21.955033681180158</v>
      </c>
      <c r="K45" s="75">
        <f t="shared" si="9"/>
        <v>219.92293522490937</v>
      </c>
      <c r="L45" s="75">
        <f t="shared" si="2"/>
        <v>164.95622269761131</v>
      </c>
      <c r="M45" s="102">
        <f t="shared" si="10"/>
        <v>8.2540302493693751</v>
      </c>
      <c r="N45" s="102">
        <f t="shared" si="3"/>
        <v>257.93844529279295</v>
      </c>
      <c r="P45" s="110" t="s">
        <v>83</v>
      </c>
      <c r="Q45" s="53">
        <f>0.2586*1+252.99</f>
        <v>253.24860000000001</v>
      </c>
      <c r="R45" s="110" t="s">
        <v>80</v>
      </c>
    </row>
    <row r="46" spans="1:18" ht="39" customHeight="1">
      <c r="A46" s="101">
        <v>40413</v>
      </c>
      <c r="B46" t="s">
        <v>118</v>
      </c>
      <c r="C46">
        <v>4.1900000000000004</v>
      </c>
      <c r="D46">
        <v>313.745</v>
      </c>
      <c r="E46">
        <v>30.34</v>
      </c>
      <c r="F46">
        <v>5875</v>
      </c>
      <c r="G46">
        <v>18</v>
      </c>
      <c r="I46" s="102">
        <f t="shared" si="8"/>
        <v>106.15004329237803</v>
      </c>
      <c r="J46" s="103">
        <f t="shared" si="1"/>
        <v>22.185359048107006</v>
      </c>
      <c r="K46" s="75">
        <f t="shared" si="9"/>
        <v>222.23009774111753</v>
      </c>
      <c r="L46" s="75">
        <f t="shared" si="2"/>
        <v>166.68674167888085</v>
      </c>
      <c r="M46" s="102">
        <f t="shared" si="10"/>
        <v>8.3406214417773814</v>
      </c>
      <c r="N46" s="102">
        <f t="shared" si="3"/>
        <v>260.64442005554315</v>
      </c>
      <c r="P46" s="110" t="s">
        <v>89</v>
      </c>
      <c r="Q46" s="111">
        <f>Q44-Q45</f>
        <v>15.51600000000002</v>
      </c>
      <c r="R46" s="110" t="s">
        <v>90</v>
      </c>
    </row>
    <row r="47" spans="1:18" ht="40.5" customHeight="1">
      <c r="A47" s="101">
        <v>40413</v>
      </c>
      <c r="B47" t="s">
        <v>119</v>
      </c>
      <c r="C47">
        <v>4.3559999999999999</v>
      </c>
      <c r="D47">
        <v>310.75799999999998</v>
      </c>
      <c r="E47">
        <v>30.45</v>
      </c>
      <c r="F47">
        <v>5872</v>
      </c>
      <c r="G47">
        <v>18</v>
      </c>
      <c r="I47" s="102">
        <f t="shared" si="8"/>
        <v>105.13934639141048</v>
      </c>
      <c r="J47" s="103">
        <f t="shared" si="1"/>
        <v>21.974123395804792</v>
      </c>
      <c r="K47" s="75">
        <f t="shared" si="9"/>
        <v>220.11415634229959</v>
      </c>
      <c r="L47" s="75">
        <f t="shared" si="2"/>
        <v>165.09965072703648</v>
      </c>
      <c r="M47" s="102">
        <f t="shared" si="10"/>
        <v>8.2612070583076651</v>
      </c>
      <c r="N47" s="102">
        <f t="shared" si="3"/>
        <v>258.16272057211455</v>
      </c>
      <c r="P47" s="109" t="s">
        <v>85</v>
      </c>
      <c r="Q47" s="53"/>
      <c r="R47" s="53"/>
    </row>
    <row r="48" spans="1:18">
      <c r="A48" s="101">
        <v>40413</v>
      </c>
      <c r="B48" t="s">
        <v>120</v>
      </c>
      <c r="C48">
        <v>4.5229999999999997</v>
      </c>
      <c r="D48">
        <v>312.92700000000002</v>
      </c>
      <c r="E48">
        <v>30.37</v>
      </c>
      <c r="F48">
        <v>5874</v>
      </c>
      <c r="G48">
        <v>18</v>
      </c>
      <c r="I48" s="102">
        <f t="shared" si="8"/>
        <v>105.87330802010852</v>
      </c>
      <c r="J48" s="103">
        <f t="shared" si="1"/>
        <v>22.127521376202679</v>
      </c>
      <c r="K48" s="75">
        <f t="shared" si="9"/>
        <v>221.65073946016543</v>
      </c>
      <c r="L48" s="75">
        <f t="shared" si="2"/>
        <v>166.25218603093668</v>
      </c>
      <c r="M48" s="102">
        <f t="shared" si="10"/>
        <v>8.3188772759344189</v>
      </c>
      <c r="N48" s="102">
        <f t="shared" si="3"/>
        <v>259.9649148729506</v>
      </c>
    </row>
    <row r="49" spans="1:14">
      <c r="A49" s="101">
        <v>40413</v>
      </c>
      <c r="B49" t="s">
        <v>121</v>
      </c>
      <c r="C49">
        <v>4.6900000000000004</v>
      </c>
      <c r="D49">
        <v>310.21800000000002</v>
      </c>
      <c r="E49">
        <v>30.47</v>
      </c>
      <c r="F49">
        <v>5876</v>
      </c>
      <c r="G49">
        <v>18</v>
      </c>
      <c r="I49" s="102">
        <f t="shared" si="8"/>
        <v>104.9567597140901</v>
      </c>
      <c r="J49" s="103">
        <f t="shared" si="1"/>
        <v>21.935962780244825</v>
      </c>
      <c r="K49" s="75">
        <f t="shared" si="9"/>
        <v>219.73190256369892</v>
      </c>
      <c r="L49" s="75">
        <f t="shared" si="2"/>
        <v>164.81293602233609</v>
      </c>
      <c r="M49" s="102">
        <f t="shared" si="10"/>
        <v>8.2468605134678619</v>
      </c>
      <c r="N49" s="102">
        <f t="shared" si="3"/>
        <v>257.71439104587068</v>
      </c>
    </row>
    <row r="50" spans="1:14">
      <c r="A50" s="101">
        <v>40413</v>
      </c>
      <c r="B50" t="s">
        <v>122</v>
      </c>
      <c r="C50">
        <v>4.8570000000000002</v>
      </c>
      <c r="D50">
        <v>311.298</v>
      </c>
      <c r="E50">
        <v>30.43</v>
      </c>
      <c r="F50">
        <v>5866</v>
      </c>
      <c r="G50">
        <v>18</v>
      </c>
      <c r="I50" s="102">
        <f t="shared" si="8"/>
        <v>105.32229361204422</v>
      </c>
      <c r="J50" s="103">
        <f t="shared" si="1"/>
        <v>22.012359364917241</v>
      </c>
      <c r="K50" s="75">
        <f t="shared" si="9"/>
        <v>220.49716493524872</v>
      </c>
      <c r="L50" s="75">
        <f t="shared" si="2"/>
        <v>165.38693159062174</v>
      </c>
      <c r="M50" s="102">
        <f t="shared" si="10"/>
        <v>8.2755819324368129</v>
      </c>
      <c r="N50" s="102">
        <f t="shared" si="3"/>
        <v>258.61193538865041</v>
      </c>
    </row>
    <row r="51" spans="1:14">
      <c r="A51" s="101">
        <v>40413</v>
      </c>
      <c r="B51" t="s">
        <v>123</v>
      </c>
      <c r="C51">
        <v>5.024</v>
      </c>
      <c r="D51">
        <v>312.11200000000002</v>
      </c>
      <c r="E51">
        <v>30.4</v>
      </c>
      <c r="F51">
        <v>5860</v>
      </c>
      <c r="G51">
        <v>18</v>
      </c>
      <c r="I51" s="102">
        <f t="shared" si="8"/>
        <v>105.59739253447991</v>
      </c>
      <c r="J51" s="103">
        <f t="shared" si="1"/>
        <v>22.069855039706297</v>
      </c>
      <c r="K51" s="75">
        <f t="shared" si="9"/>
        <v>221.07309744102236</v>
      </c>
      <c r="L51" s="75">
        <f t="shared" si="2"/>
        <v>165.81891768877031</v>
      </c>
      <c r="M51" s="102">
        <f t="shared" si="10"/>
        <v>8.2971975239138409</v>
      </c>
      <c r="N51" s="102">
        <f t="shared" si="3"/>
        <v>259.28742262230753</v>
      </c>
    </row>
    <row r="52" spans="1:14">
      <c r="A52" s="101">
        <v>40413</v>
      </c>
      <c r="B52" t="s">
        <v>124</v>
      </c>
      <c r="C52">
        <v>5.1909999999999998</v>
      </c>
      <c r="D52">
        <v>313.47199999999998</v>
      </c>
      <c r="E52">
        <v>30.35</v>
      </c>
      <c r="F52">
        <v>5865</v>
      </c>
      <c r="G52">
        <v>18</v>
      </c>
      <c r="I52" s="102">
        <f t="shared" si="8"/>
        <v>106.0577069146369</v>
      </c>
      <c r="J52" s="103">
        <f t="shared" si="1"/>
        <v>22.166060745159111</v>
      </c>
      <c r="K52" s="75">
        <f t="shared" si="9"/>
        <v>222.03678720054663</v>
      </c>
      <c r="L52" s="75">
        <f t="shared" si="2"/>
        <v>166.54174644885811</v>
      </c>
      <c r="M52" s="102">
        <f t="shared" si="10"/>
        <v>8.3333662137232345</v>
      </c>
      <c r="N52" s="102">
        <f t="shared" si="3"/>
        <v>260.41769417885109</v>
      </c>
    </row>
    <row r="53" spans="1:14">
      <c r="A53" s="101">
        <v>40413</v>
      </c>
      <c r="B53" t="s">
        <v>125</v>
      </c>
      <c r="C53">
        <v>5.3579999999999997</v>
      </c>
      <c r="D53">
        <v>314.565</v>
      </c>
      <c r="E53">
        <v>30.31</v>
      </c>
      <c r="F53">
        <v>5857</v>
      </c>
      <c r="G53">
        <v>18</v>
      </c>
      <c r="I53" s="102">
        <f t="shared" si="8"/>
        <v>106.427601589378</v>
      </c>
      <c r="J53" s="103">
        <f t="shared" si="1"/>
        <v>22.243368732180002</v>
      </c>
      <c r="K53" s="75">
        <f t="shared" si="9"/>
        <v>222.81117906297123</v>
      </c>
      <c r="L53" s="75">
        <f t="shared" si="2"/>
        <v>167.1225897173544</v>
      </c>
      <c r="M53" s="102">
        <f t="shared" si="10"/>
        <v>8.3624302758720113</v>
      </c>
      <c r="N53" s="102">
        <f t="shared" si="3"/>
        <v>261.32594612100036</v>
      </c>
    </row>
    <row r="54" spans="1:14">
      <c r="A54" s="101">
        <v>40413</v>
      </c>
      <c r="B54" t="s">
        <v>126</v>
      </c>
      <c r="C54">
        <v>5.5250000000000004</v>
      </c>
      <c r="D54">
        <v>310.75799999999998</v>
      </c>
      <c r="E54">
        <v>30.45</v>
      </c>
      <c r="F54">
        <v>5855</v>
      </c>
      <c r="G54">
        <v>18</v>
      </c>
      <c r="I54" s="102">
        <f t="shared" si="8"/>
        <v>105.13934639141048</v>
      </c>
      <c r="J54" s="103">
        <f t="shared" si="1"/>
        <v>21.974123395804792</v>
      </c>
      <c r="K54" s="75">
        <f t="shared" si="9"/>
        <v>220.11415634229959</v>
      </c>
      <c r="L54" s="75">
        <f t="shared" si="2"/>
        <v>165.09965072703648</v>
      </c>
      <c r="M54" s="102">
        <f t="shared" si="10"/>
        <v>8.2612070583076651</v>
      </c>
      <c r="N54" s="102">
        <f t="shared" si="3"/>
        <v>258.16272057211455</v>
      </c>
    </row>
    <row r="55" spans="1:14">
      <c r="A55" s="101">
        <v>40413</v>
      </c>
      <c r="B55" t="s">
        <v>127</v>
      </c>
      <c r="C55">
        <v>5.6920000000000002</v>
      </c>
      <c r="D55">
        <v>316.21300000000002</v>
      </c>
      <c r="E55">
        <v>30.25</v>
      </c>
      <c r="F55">
        <v>5861</v>
      </c>
      <c r="G55">
        <v>18</v>
      </c>
      <c r="I55" s="102">
        <f t="shared" si="8"/>
        <v>106.9852002835591</v>
      </c>
      <c r="J55" s="103">
        <f t="shared" si="1"/>
        <v>22.359906859263852</v>
      </c>
      <c r="K55" s="75">
        <f t="shared" si="9"/>
        <v>223.97853809990426</v>
      </c>
      <c r="L55" s="75">
        <f t="shared" si="2"/>
        <v>167.99818342051893</v>
      </c>
      <c r="M55" s="102">
        <f t="shared" si="10"/>
        <v>8.4062429723189069</v>
      </c>
      <c r="N55" s="102">
        <f t="shared" si="3"/>
        <v>262.69509288496585</v>
      </c>
    </row>
    <row r="56" spans="1:14">
      <c r="A56" s="101">
        <v>40413</v>
      </c>
      <c r="B56" t="s">
        <v>128</v>
      </c>
      <c r="C56">
        <v>5.859</v>
      </c>
      <c r="D56">
        <v>314.839</v>
      </c>
      <c r="E56">
        <v>30.3</v>
      </c>
      <c r="F56">
        <v>5838</v>
      </c>
      <c r="G56">
        <v>18</v>
      </c>
      <c r="I56" s="102">
        <f t="shared" si="8"/>
        <v>106.52030447788319</v>
      </c>
      <c r="J56" s="103">
        <f t="shared" si="1"/>
        <v>22.262743635877587</v>
      </c>
      <c r="K56" s="75">
        <f t="shared" si="9"/>
        <v>223.00525691102871</v>
      </c>
      <c r="L56" s="75">
        <f t="shared" si="2"/>
        <v>167.26816047691207</v>
      </c>
      <c r="M56" s="102">
        <f t="shared" si="10"/>
        <v>8.3697143021012934</v>
      </c>
      <c r="N56" s="102">
        <f t="shared" si="3"/>
        <v>261.55357194066539</v>
      </c>
    </row>
    <row r="57" spans="1:14">
      <c r="A57" s="101">
        <v>40413</v>
      </c>
      <c r="B57" t="s">
        <v>129</v>
      </c>
      <c r="C57">
        <v>6.0250000000000004</v>
      </c>
      <c r="D57">
        <v>312.65499999999997</v>
      </c>
      <c r="E57">
        <v>30.38</v>
      </c>
      <c r="F57">
        <v>5848</v>
      </c>
      <c r="G57">
        <v>18</v>
      </c>
      <c r="I57" s="102">
        <f t="shared" si="8"/>
        <v>105.78124526364429</v>
      </c>
      <c r="J57" s="103">
        <f t="shared" si="1"/>
        <v>22.108280260101655</v>
      </c>
      <c r="K57" s="75">
        <f t="shared" si="9"/>
        <v>221.45800175858002</v>
      </c>
      <c r="L57" s="75">
        <f t="shared" si="2"/>
        <v>166.10762046667469</v>
      </c>
      <c r="M57" s="102">
        <f t="shared" si="10"/>
        <v>8.311643547367396</v>
      </c>
      <c r="N57" s="102">
        <f t="shared" si="3"/>
        <v>259.73886085523111</v>
      </c>
    </row>
    <row r="58" spans="1:14">
      <c r="A58" s="101">
        <v>40413</v>
      </c>
      <c r="B58" t="s">
        <v>130</v>
      </c>
      <c r="C58">
        <v>6.1920000000000002</v>
      </c>
      <c r="D58">
        <v>314.16199999999998</v>
      </c>
      <c r="E58">
        <v>30.28</v>
      </c>
      <c r="F58">
        <v>5846</v>
      </c>
      <c r="G58">
        <v>18.100000000000001</v>
      </c>
      <c r="I58" s="102">
        <f t="shared" si="8"/>
        <v>106.50856208997071</v>
      </c>
      <c r="J58" s="103">
        <f t="shared" si="1"/>
        <v>22.260289476803877</v>
      </c>
      <c r="K58" s="75">
        <f t="shared" si="9"/>
        <v>222.95157092436079</v>
      </c>
      <c r="L58" s="75">
        <f t="shared" si="2"/>
        <v>167.22789256413853</v>
      </c>
      <c r="M58" s="102">
        <f t="shared" si="10"/>
        <v>8.3530397097054809</v>
      </c>
      <c r="N58" s="102">
        <f t="shared" si="3"/>
        <v>261.03249092829628</v>
      </c>
    </row>
    <row r="59" spans="1:14">
      <c r="A59" s="101">
        <v>40413</v>
      </c>
      <c r="B59" t="s">
        <v>131</v>
      </c>
      <c r="C59">
        <v>6.359</v>
      </c>
      <c r="D59">
        <v>314.16199999999998</v>
      </c>
      <c r="E59">
        <v>30.28</v>
      </c>
      <c r="F59">
        <v>5832</v>
      </c>
      <c r="G59">
        <v>18.100000000000001</v>
      </c>
      <c r="I59" s="102">
        <f t="shared" si="8"/>
        <v>106.50856208997071</v>
      </c>
      <c r="J59" s="103">
        <f t="shared" si="1"/>
        <v>22.260289476803877</v>
      </c>
      <c r="K59" s="75">
        <f t="shared" si="9"/>
        <v>222.95157092436079</v>
      </c>
      <c r="L59" s="75">
        <f t="shared" si="2"/>
        <v>167.22789256413853</v>
      </c>
      <c r="M59" s="102">
        <f t="shared" si="10"/>
        <v>8.3530397097054809</v>
      </c>
      <c r="N59" s="102">
        <f t="shared" si="3"/>
        <v>261.03249092829628</v>
      </c>
    </row>
    <row r="60" spans="1:14">
      <c r="A60" s="101">
        <v>40413</v>
      </c>
      <c r="B60" t="s">
        <v>132</v>
      </c>
      <c r="C60">
        <v>6.5259999999999998</v>
      </c>
      <c r="D60">
        <v>313.34300000000002</v>
      </c>
      <c r="E60">
        <v>30.31</v>
      </c>
      <c r="F60">
        <v>5826</v>
      </c>
      <c r="G60">
        <v>18.100000000000001</v>
      </c>
      <c r="I60" s="102">
        <f t="shared" si="8"/>
        <v>106.23067586191634</v>
      </c>
      <c r="J60" s="103">
        <f t="shared" si="1"/>
        <v>22.202211255140515</v>
      </c>
      <c r="K60" s="75">
        <f t="shared" si="9"/>
        <v>222.36987899399153</v>
      </c>
      <c r="L60" s="75">
        <f t="shared" si="2"/>
        <v>166.79158653034872</v>
      </c>
      <c r="M60" s="102">
        <f t="shared" si="10"/>
        <v>8.3312462064211363</v>
      </c>
      <c r="N60" s="102">
        <f t="shared" si="3"/>
        <v>260.3514439506605</v>
      </c>
    </row>
    <row r="61" spans="1:14">
      <c r="A61" s="101">
        <v>40413</v>
      </c>
      <c r="B61" t="s">
        <v>133</v>
      </c>
      <c r="C61">
        <v>6.6929999999999996</v>
      </c>
      <c r="D61">
        <v>314.16199999999998</v>
      </c>
      <c r="E61">
        <v>30.28</v>
      </c>
      <c r="F61">
        <v>5839</v>
      </c>
      <c r="G61">
        <v>18.100000000000001</v>
      </c>
      <c r="I61" s="102">
        <f t="shared" si="8"/>
        <v>106.50856208997071</v>
      </c>
      <c r="J61" s="103">
        <f t="shared" si="1"/>
        <v>22.260289476803877</v>
      </c>
      <c r="K61" s="75">
        <f t="shared" si="9"/>
        <v>222.95157092436079</v>
      </c>
      <c r="L61" s="75">
        <f t="shared" si="2"/>
        <v>167.22789256413853</v>
      </c>
      <c r="M61" s="102">
        <f t="shared" si="10"/>
        <v>8.3530397097054809</v>
      </c>
      <c r="N61" s="102">
        <f t="shared" si="3"/>
        <v>261.03249092829628</v>
      </c>
    </row>
    <row r="62" spans="1:14">
      <c r="A62" s="101">
        <v>40413</v>
      </c>
      <c r="B62" t="s">
        <v>134</v>
      </c>
      <c r="C62">
        <v>6.86</v>
      </c>
      <c r="D62">
        <v>312.52499999999998</v>
      </c>
      <c r="E62">
        <v>30.34</v>
      </c>
      <c r="F62">
        <v>5823</v>
      </c>
      <c r="G62">
        <v>18.100000000000001</v>
      </c>
      <c r="I62" s="102">
        <f t="shared" si="8"/>
        <v>105.95361442903173</v>
      </c>
      <c r="J62" s="103">
        <f t="shared" si="1"/>
        <v>22.144305415667631</v>
      </c>
      <c r="K62" s="75">
        <f t="shared" si="9"/>
        <v>221.78991358565193</v>
      </c>
      <c r="L62" s="75">
        <f t="shared" si="2"/>
        <v>166.35657549815627</v>
      </c>
      <c r="M62" s="102">
        <f t="shared" si="10"/>
        <v>8.3095173885167313</v>
      </c>
      <c r="N62" s="102">
        <f t="shared" si="3"/>
        <v>259.67241839114786</v>
      </c>
    </row>
    <row r="63" spans="1:14">
      <c r="A63" s="101">
        <v>40413</v>
      </c>
      <c r="B63" t="s">
        <v>135</v>
      </c>
      <c r="C63">
        <v>7.0270000000000001</v>
      </c>
      <c r="D63">
        <v>315.80900000000003</v>
      </c>
      <c r="E63">
        <v>30.22</v>
      </c>
      <c r="F63">
        <v>5831</v>
      </c>
      <c r="G63">
        <v>18.100000000000001</v>
      </c>
      <c r="I63" s="102">
        <f t="shared" si="8"/>
        <v>107.06682199473043</v>
      </c>
      <c r="J63" s="103">
        <f t="shared" si="1"/>
        <v>22.376965796898659</v>
      </c>
      <c r="K63" s="75">
        <f t="shared" si="9"/>
        <v>224.12016169591891</v>
      </c>
      <c r="L63" s="75">
        <f t="shared" si="2"/>
        <v>168.10441014680165</v>
      </c>
      <c r="M63" s="102">
        <f t="shared" si="10"/>
        <v>8.3968217969038328</v>
      </c>
      <c r="N63" s="102">
        <f t="shared" si="3"/>
        <v>262.40068115324476</v>
      </c>
    </row>
    <row r="64" spans="1:14">
      <c r="A64" s="101">
        <v>40413</v>
      </c>
      <c r="B64" t="s">
        <v>136</v>
      </c>
      <c r="C64">
        <v>7.194</v>
      </c>
      <c r="D64">
        <v>311.16899999999998</v>
      </c>
      <c r="E64">
        <v>30.39</v>
      </c>
      <c r="F64">
        <v>5825</v>
      </c>
      <c r="G64">
        <v>18.100000000000001</v>
      </c>
      <c r="I64" s="102">
        <f t="shared" si="8"/>
        <v>105.49366943916303</v>
      </c>
      <c r="J64" s="103">
        <f t="shared" si="1"/>
        <v>22.04817691278507</v>
      </c>
      <c r="K64" s="75">
        <f t="shared" si="9"/>
        <v>220.82712283890058</v>
      </c>
      <c r="L64" s="75">
        <f t="shared" si="2"/>
        <v>165.63442105496509</v>
      </c>
      <c r="M64" s="102">
        <f t="shared" si="10"/>
        <v>8.2734457461129232</v>
      </c>
      <c r="N64" s="102">
        <f t="shared" si="3"/>
        <v>258.54517956602882</v>
      </c>
    </row>
    <row r="65" spans="1:14">
      <c r="A65" s="101">
        <v>40413</v>
      </c>
      <c r="B65" t="s">
        <v>137</v>
      </c>
      <c r="C65">
        <v>7.36</v>
      </c>
      <c r="D65">
        <v>318.02</v>
      </c>
      <c r="E65">
        <v>30.14</v>
      </c>
      <c r="F65">
        <v>5816</v>
      </c>
      <c r="G65">
        <v>18.100000000000001</v>
      </c>
      <c r="I65" s="102">
        <f t="shared" si="8"/>
        <v>107.81636636181995</v>
      </c>
      <c r="J65" s="103">
        <f t="shared" si="1"/>
        <v>22.533620569620368</v>
      </c>
      <c r="K65" s="75">
        <f t="shared" si="9"/>
        <v>225.68916320003228</v>
      </c>
      <c r="L65" s="75">
        <f t="shared" si="2"/>
        <v>169.28126130723533</v>
      </c>
      <c r="M65" s="102">
        <f t="shared" si="10"/>
        <v>8.4556055579426506</v>
      </c>
      <c r="N65" s="102">
        <f t="shared" si="3"/>
        <v>264.23767368570782</v>
      </c>
    </row>
    <row r="66" spans="1:14">
      <c r="A66" s="101">
        <v>40413</v>
      </c>
      <c r="B66" t="s">
        <v>138</v>
      </c>
      <c r="C66">
        <v>7.5279999999999996</v>
      </c>
      <c r="D66">
        <v>314.43599999999998</v>
      </c>
      <c r="E66">
        <v>30.27</v>
      </c>
      <c r="F66">
        <v>5816</v>
      </c>
      <c r="G66">
        <v>18.100000000000001</v>
      </c>
      <c r="I66" s="102">
        <f t="shared" si="8"/>
        <v>106.60137468386031</v>
      </c>
      <c r="J66" s="103">
        <f t="shared" si="1"/>
        <v>22.279687308926803</v>
      </c>
      <c r="K66" s="75">
        <f t="shared" si="9"/>
        <v>223.14585308537403</v>
      </c>
      <c r="L66" s="75">
        <f t="shared" si="2"/>
        <v>167.37361657143907</v>
      </c>
      <c r="M66" s="102">
        <f t="shared" si="10"/>
        <v>8.3603186295135021</v>
      </c>
      <c r="N66" s="102">
        <f t="shared" si="3"/>
        <v>261.25995717229694</v>
      </c>
    </row>
    <row r="67" spans="1:14">
      <c r="A67" s="101">
        <v>40413</v>
      </c>
      <c r="B67" t="s">
        <v>139</v>
      </c>
      <c r="C67">
        <v>7.694</v>
      </c>
      <c r="D67">
        <v>318.85300000000001</v>
      </c>
      <c r="E67">
        <v>30.11</v>
      </c>
      <c r="F67">
        <v>5815</v>
      </c>
      <c r="G67">
        <v>18.100000000000001</v>
      </c>
      <c r="I67" s="102">
        <f t="shared" si="8"/>
        <v>108.09898848396429</v>
      </c>
      <c r="J67" s="103">
        <f t="shared" si="1"/>
        <v>22.592688593148537</v>
      </c>
      <c r="K67" s="75">
        <f t="shared" si="9"/>
        <v>226.28076865290498</v>
      </c>
      <c r="L67" s="75">
        <f t="shared" si="2"/>
        <v>169.72500311494349</v>
      </c>
      <c r="M67" s="102">
        <f t="shared" si="10"/>
        <v>8.4777704784221761</v>
      </c>
      <c r="N67" s="102">
        <f t="shared" si="3"/>
        <v>264.93032745069303</v>
      </c>
    </row>
    <row r="68" spans="1:14">
      <c r="A68" s="101">
        <v>40413</v>
      </c>
      <c r="B68" t="s">
        <v>140</v>
      </c>
      <c r="C68">
        <v>7.8609999999999998</v>
      </c>
      <c r="D68">
        <v>316.91199999999998</v>
      </c>
      <c r="E68">
        <v>30.18</v>
      </c>
      <c r="F68">
        <v>5815</v>
      </c>
      <c r="G68">
        <v>18.100000000000001</v>
      </c>
      <c r="I68" s="102">
        <f t="shared" si="8"/>
        <v>107.44084836552162</v>
      </c>
      <c r="J68" s="103">
        <f t="shared" si="1"/>
        <v>22.455137308394015</v>
      </c>
      <c r="K68" s="75">
        <f t="shared" si="9"/>
        <v>224.90310125775989</v>
      </c>
      <c r="L68" s="75">
        <f t="shared" si="2"/>
        <v>168.69166473482235</v>
      </c>
      <c r="M68" s="102">
        <f t="shared" si="10"/>
        <v>8.4261551863176987</v>
      </c>
      <c r="N68" s="102">
        <f t="shared" si="3"/>
        <v>263.3173495724281</v>
      </c>
    </row>
    <row r="69" spans="1:14">
      <c r="A69" s="101">
        <v>40413</v>
      </c>
      <c r="B69" t="s">
        <v>141</v>
      </c>
      <c r="C69">
        <v>8.0280000000000005</v>
      </c>
      <c r="D69">
        <v>316.91199999999998</v>
      </c>
      <c r="E69">
        <v>30.18</v>
      </c>
      <c r="F69">
        <v>5814</v>
      </c>
      <c r="G69">
        <v>18.100000000000001</v>
      </c>
      <c r="I69" s="102">
        <f t="shared" si="8"/>
        <v>107.44084836552162</v>
      </c>
      <c r="J69" s="103">
        <f t="shared" si="1"/>
        <v>22.455137308394015</v>
      </c>
      <c r="K69" s="75">
        <f t="shared" si="9"/>
        <v>224.90310125775989</v>
      </c>
      <c r="L69" s="75">
        <f t="shared" si="2"/>
        <v>168.69166473482235</v>
      </c>
      <c r="M69" s="102">
        <f t="shared" si="10"/>
        <v>8.4261551863176987</v>
      </c>
      <c r="N69" s="102">
        <f t="shared" si="3"/>
        <v>263.3173495724281</v>
      </c>
    </row>
    <row r="70" spans="1:14">
      <c r="A70" s="101">
        <v>40413</v>
      </c>
      <c r="B70" t="s">
        <v>142</v>
      </c>
      <c r="C70">
        <v>8.1950000000000003</v>
      </c>
      <c r="D70">
        <v>317.18900000000002</v>
      </c>
      <c r="E70">
        <v>30.17</v>
      </c>
      <c r="F70">
        <v>5808</v>
      </c>
      <c r="G70">
        <v>18.100000000000001</v>
      </c>
      <c r="I70" s="102">
        <f t="shared" si="8"/>
        <v>107.53458771724345</v>
      </c>
      <c r="J70" s="103">
        <f t="shared" si="1"/>
        <v>22.474728832903878</v>
      </c>
      <c r="K70" s="75">
        <f t="shared" si="9"/>
        <v>225.09932337656156</v>
      </c>
      <c r="L70" s="75">
        <f t="shared" si="2"/>
        <v>168.83884383414707</v>
      </c>
      <c r="M70" s="102">
        <f t="shared" si="10"/>
        <v>8.4335067880286765</v>
      </c>
      <c r="N70" s="102">
        <f t="shared" si="3"/>
        <v>263.54708712589616</v>
      </c>
    </row>
    <row r="71" spans="1:14">
      <c r="A71" s="101">
        <v>40413</v>
      </c>
      <c r="B71" t="s">
        <v>143</v>
      </c>
      <c r="C71">
        <v>8.3620000000000001</v>
      </c>
      <c r="D71">
        <v>317.18900000000002</v>
      </c>
      <c r="E71">
        <v>30.17</v>
      </c>
      <c r="F71">
        <v>5802</v>
      </c>
      <c r="G71">
        <v>18.100000000000001</v>
      </c>
      <c r="I71" s="102">
        <f t="shared" si="8"/>
        <v>107.53458771724345</v>
      </c>
      <c r="J71" s="103">
        <f t="shared" si="1"/>
        <v>22.474728832903878</v>
      </c>
      <c r="K71" s="75">
        <f t="shared" si="9"/>
        <v>225.09932337656156</v>
      </c>
      <c r="L71" s="75">
        <f t="shared" si="2"/>
        <v>168.83884383414707</v>
      </c>
      <c r="M71" s="102">
        <f t="shared" si="10"/>
        <v>8.4335067880286765</v>
      </c>
      <c r="N71" s="102">
        <f t="shared" si="3"/>
        <v>263.54708712589616</v>
      </c>
    </row>
    <row r="72" spans="1:14">
      <c r="A72" s="101">
        <v>40413</v>
      </c>
      <c r="B72" t="s">
        <v>144</v>
      </c>
      <c r="C72">
        <v>8.5289999999999999</v>
      </c>
      <c r="D72">
        <v>317.18900000000002</v>
      </c>
      <c r="E72">
        <v>30.17</v>
      </c>
      <c r="F72">
        <v>5787</v>
      </c>
      <c r="G72">
        <v>18.100000000000001</v>
      </c>
      <c r="I72" s="102">
        <f t="shared" si="8"/>
        <v>107.53458771724345</v>
      </c>
      <c r="J72" s="103">
        <f t="shared" si="1"/>
        <v>22.474728832903878</v>
      </c>
      <c r="K72" s="75">
        <f t="shared" si="9"/>
        <v>225.09932337656156</v>
      </c>
      <c r="L72" s="75">
        <f t="shared" si="2"/>
        <v>168.83884383414707</v>
      </c>
      <c r="M72" s="102">
        <f t="shared" si="10"/>
        <v>8.4335067880286765</v>
      </c>
      <c r="N72" s="102">
        <f t="shared" si="3"/>
        <v>263.54708712589616</v>
      </c>
    </row>
    <row r="73" spans="1:14">
      <c r="A73" s="101">
        <v>40413</v>
      </c>
      <c r="B73" t="s">
        <v>145</v>
      </c>
      <c r="C73">
        <v>8.6959999999999997</v>
      </c>
      <c r="D73">
        <v>318.29700000000003</v>
      </c>
      <c r="E73">
        <v>30.13</v>
      </c>
      <c r="F73">
        <v>5806</v>
      </c>
      <c r="G73">
        <v>18.100000000000001</v>
      </c>
      <c r="I73" s="102">
        <f t="shared" si="8"/>
        <v>107.91047985116283</v>
      </c>
      <c r="J73" s="103">
        <f t="shared" si="1"/>
        <v>22.553290288893031</v>
      </c>
      <c r="K73" s="75">
        <f t="shared" si="9"/>
        <v>225.88616849127303</v>
      </c>
      <c r="L73" s="75">
        <f t="shared" si="2"/>
        <v>169.42902783582082</v>
      </c>
      <c r="M73" s="102">
        <f t="shared" si="10"/>
        <v>8.4629865017679542</v>
      </c>
      <c r="N73" s="102">
        <f t="shared" si="3"/>
        <v>264.46832818024859</v>
      </c>
    </row>
    <row r="74" spans="1:14">
      <c r="A74" s="101">
        <v>40413</v>
      </c>
      <c r="B74" t="s">
        <v>146</v>
      </c>
      <c r="C74">
        <v>8.8460000000000001</v>
      </c>
      <c r="D74">
        <v>320.80799999999999</v>
      </c>
      <c r="E74">
        <v>30.04</v>
      </c>
      <c r="F74">
        <v>5791</v>
      </c>
      <c r="G74">
        <v>18.100000000000001</v>
      </c>
      <c r="I74" s="102">
        <f t="shared" si="8"/>
        <v>108.76173912294647</v>
      </c>
      <c r="J74" s="103">
        <f t="shared" si="1"/>
        <v>22.731203476695811</v>
      </c>
      <c r="K74" s="75">
        <f t="shared" si="9"/>
        <v>227.66808712939874</v>
      </c>
      <c r="L74" s="75">
        <f t="shared" si="2"/>
        <v>170.76558042138487</v>
      </c>
      <c r="M74" s="102">
        <f t="shared" si="10"/>
        <v>8.5297473551766885</v>
      </c>
      <c r="N74" s="102">
        <f t="shared" si="3"/>
        <v>266.55460484927153</v>
      </c>
    </row>
    <row r="75" spans="1:14">
      <c r="A75" s="101">
        <v>40413</v>
      </c>
      <c r="B75" t="s">
        <v>147</v>
      </c>
      <c r="C75">
        <v>9.0129999999999999</v>
      </c>
      <c r="D75">
        <v>320.52800000000002</v>
      </c>
      <c r="E75">
        <v>30.05</v>
      </c>
      <c r="F75">
        <v>5785</v>
      </c>
      <c r="G75">
        <v>18.100000000000001</v>
      </c>
      <c r="I75" s="102">
        <f t="shared" si="8"/>
        <v>108.6667765645574</v>
      </c>
      <c r="J75" s="103">
        <f t="shared" si="1"/>
        <v>22.711356301992495</v>
      </c>
      <c r="K75" s="75">
        <f t="shared" si="9"/>
        <v>227.46930450426146</v>
      </c>
      <c r="L75" s="75">
        <f t="shared" si="2"/>
        <v>170.6164807790623</v>
      </c>
      <c r="M75" s="102">
        <f t="shared" si="10"/>
        <v>8.5222998222685931</v>
      </c>
      <c r="N75" s="102">
        <f t="shared" si="3"/>
        <v>266.32186944589353</v>
      </c>
    </row>
    <row r="76" spans="1:14">
      <c r="A76" s="101">
        <v>40413</v>
      </c>
      <c r="B76" t="s">
        <v>148</v>
      </c>
      <c r="C76">
        <v>9.18</v>
      </c>
      <c r="D76">
        <v>319.69</v>
      </c>
      <c r="E76">
        <v>30.08</v>
      </c>
      <c r="F76">
        <v>5799</v>
      </c>
      <c r="G76">
        <v>18.100000000000001</v>
      </c>
      <c r="I76" s="102">
        <f t="shared" si="8"/>
        <v>108.38245743076531</v>
      </c>
      <c r="J76" s="103">
        <f t="shared" si="1"/>
        <v>22.651933603029946</v>
      </c>
      <c r="K76" s="75">
        <f t="shared" si="9"/>
        <v>226.87414674155266</v>
      </c>
      <c r="L76" s="75">
        <f t="shared" si="2"/>
        <v>170.17007451249805</v>
      </c>
      <c r="M76" s="102">
        <f t="shared" si="10"/>
        <v>8.5000018119660208</v>
      </c>
      <c r="N76" s="102">
        <f t="shared" si="3"/>
        <v>265.62505662393812</v>
      </c>
    </row>
    <row r="77" spans="1:14">
      <c r="A77" s="101">
        <v>40413</v>
      </c>
      <c r="B77" t="s">
        <v>149</v>
      </c>
      <c r="C77">
        <v>9.3469999999999995</v>
      </c>
      <c r="D77">
        <v>319.69</v>
      </c>
      <c r="E77">
        <v>30.08</v>
      </c>
      <c r="F77">
        <v>5771</v>
      </c>
      <c r="G77">
        <v>18.100000000000001</v>
      </c>
      <c r="I77" s="102">
        <f t="shared" si="8"/>
        <v>108.38245743076531</v>
      </c>
      <c r="J77" s="103">
        <f t="shared" si="1"/>
        <v>22.651933603029946</v>
      </c>
      <c r="K77" s="75">
        <f t="shared" si="9"/>
        <v>226.87414674155266</v>
      </c>
      <c r="L77" s="75">
        <f t="shared" si="2"/>
        <v>170.17007451249805</v>
      </c>
      <c r="M77" s="102">
        <f t="shared" si="10"/>
        <v>8.5000018119660208</v>
      </c>
      <c r="N77" s="102">
        <f t="shared" si="3"/>
        <v>265.62505662393812</v>
      </c>
    </row>
    <row r="78" spans="1:14">
      <c r="A78" s="101">
        <v>40413</v>
      </c>
      <c r="B78" t="s">
        <v>150</v>
      </c>
      <c r="C78">
        <v>9.5139999999999993</v>
      </c>
      <c r="D78">
        <v>322.34100000000001</v>
      </c>
      <c r="E78">
        <v>30.03</v>
      </c>
      <c r="F78">
        <v>5779</v>
      </c>
      <c r="G78">
        <v>18</v>
      </c>
      <c r="I78" s="102">
        <f t="shared" si="8"/>
        <v>109.05843199911887</v>
      </c>
      <c r="J78" s="103">
        <f t="shared" si="1"/>
        <v>22.793212287815841</v>
      </c>
      <c r="K78" s="75">
        <f t="shared" si="9"/>
        <v>228.31894600270451</v>
      </c>
      <c r="L78" s="75">
        <f t="shared" si="2"/>
        <v>171.25376607214451</v>
      </c>
      <c r="M78" s="102">
        <f t="shared" si="10"/>
        <v>8.5691448455940957</v>
      </c>
      <c r="N78" s="102">
        <f t="shared" si="3"/>
        <v>267.78577642481548</v>
      </c>
    </row>
    <row r="79" spans="1:14">
      <c r="A79" s="101">
        <v>40413</v>
      </c>
      <c r="B79" t="s">
        <v>151</v>
      </c>
      <c r="C79">
        <v>9.6809999999999992</v>
      </c>
      <c r="D79">
        <v>321.21699999999998</v>
      </c>
      <c r="E79">
        <v>30.07</v>
      </c>
      <c r="F79">
        <v>5776</v>
      </c>
      <c r="G79">
        <v>18</v>
      </c>
      <c r="I79" s="102">
        <f t="shared" si="8"/>
        <v>108.67809031454991</v>
      </c>
      <c r="J79" s="103">
        <f t="shared" si="1"/>
        <v>22.713720875740929</v>
      </c>
      <c r="K79" s="75">
        <f t="shared" si="9"/>
        <v>227.52268283487922</v>
      </c>
      <c r="L79" s="75">
        <f t="shared" si="2"/>
        <v>170.65651793018347</v>
      </c>
      <c r="M79" s="102">
        <f t="shared" si="10"/>
        <v>8.5392599212820084</v>
      </c>
      <c r="N79" s="102">
        <f t="shared" si="3"/>
        <v>266.85187254006274</v>
      </c>
    </row>
    <row r="80" spans="1:14">
      <c r="A80" s="101">
        <v>40413</v>
      </c>
      <c r="B80" t="s">
        <v>152</v>
      </c>
      <c r="C80">
        <v>9.8480000000000008</v>
      </c>
      <c r="D80">
        <v>322.62299999999999</v>
      </c>
      <c r="E80">
        <v>30.02</v>
      </c>
      <c r="F80">
        <v>5792</v>
      </c>
      <c r="G80">
        <v>18</v>
      </c>
      <c r="I80" s="102">
        <f t="shared" si="8"/>
        <v>109.15375526092599</v>
      </c>
      <c r="J80" s="103">
        <f t="shared" si="1"/>
        <v>22.81313484953353</v>
      </c>
      <c r="K80" s="75">
        <f t="shared" si="9"/>
        <v>228.51850972525577</v>
      </c>
      <c r="L80" s="75">
        <f t="shared" si="2"/>
        <v>171.40345158732674</v>
      </c>
      <c r="M80" s="102">
        <f t="shared" si="10"/>
        <v>8.5766347647375003</v>
      </c>
      <c r="N80" s="102">
        <f t="shared" si="3"/>
        <v>268.01983639804689</v>
      </c>
    </row>
    <row r="81" spans="1:14">
      <c r="A81" s="101">
        <v>40413</v>
      </c>
      <c r="B81" t="s">
        <v>153</v>
      </c>
      <c r="C81">
        <v>10.013999999999999</v>
      </c>
      <c r="D81">
        <v>321.21699999999998</v>
      </c>
      <c r="E81">
        <v>30.07</v>
      </c>
      <c r="F81">
        <v>5776</v>
      </c>
      <c r="G81">
        <v>18</v>
      </c>
      <c r="I81" s="102">
        <f t="shared" si="8"/>
        <v>108.67809031454991</v>
      </c>
      <c r="J81" s="103">
        <f t="shared" si="1"/>
        <v>22.713720875740929</v>
      </c>
      <c r="K81" s="75">
        <f t="shared" si="9"/>
        <v>227.52268283487922</v>
      </c>
      <c r="L81" s="75">
        <f t="shared" si="2"/>
        <v>170.65651793018347</v>
      </c>
      <c r="M81" s="102">
        <f t="shared" si="10"/>
        <v>8.5392599212820084</v>
      </c>
      <c r="N81" s="102">
        <f t="shared" si="3"/>
        <v>266.85187254006274</v>
      </c>
    </row>
    <row r="82" spans="1:14">
      <c r="A82" s="101">
        <v>40413</v>
      </c>
      <c r="B82" t="s">
        <v>154</v>
      </c>
      <c r="C82">
        <v>10.180999999999999</v>
      </c>
      <c r="D82">
        <v>321.779</v>
      </c>
      <c r="E82">
        <v>30.05</v>
      </c>
      <c r="F82">
        <v>5786</v>
      </c>
      <c r="G82">
        <v>18</v>
      </c>
      <c r="I82" s="102">
        <f t="shared" si="8"/>
        <v>108.8680711357752</v>
      </c>
      <c r="J82" s="103">
        <f t="shared" si="1"/>
        <v>22.753426867377016</v>
      </c>
      <c r="K82" s="75">
        <f t="shared" si="9"/>
        <v>227.92041660078593</v>
      </c>
      <c r="L82" s="75">
        <f t="shared" si="2"/>
        <v>170.95484361229649</v>
      </c>
      <c r="M82" s="102">
        <f t="shared" si="10"/>
        <v>8.5541874527449355</v>
      </c>
      <c r="N82" s="102">
        <f t="shared" si="3"/>
        <v>267.31835789827926</v>
      </c>
    </row>
    <row r="83" spans="1:14">
      <c r="A83" s="101">
        <v>40413</v>
      </c>
      <c r="B83" t="s">
        <v>155</v>
      </c>
      <c r="C83">
        <v>10.348000000000001</v>
      </c>
      <c r="D83">
        <v>321.779</v>
      </c>
      <c r="E83">
        <v>30.05</v>
      </c>
      <c r="F83">
        <v>5765</v>
      </c>
      <c r="G83">
        <v>18</v>
      </c>
      <c r="I83" s="102">
        <f t="shared" si="8"/>
        <v>108.8680711357752</v>
      </c>
      <c r="J83" s="103">
        <f t="shared" si="1"/>
        <v>22.753426867377016</v>
      </c>
      <c r="K83" s="75">
        <f t="shared" si="9"/>
        <v>227.92041660078593</v>
      </c>
      <c r="L83" s="75">
        <f t="shared" si="2"/>
        <v>170.95484361229649</v>
      </c>
      <c r="M83" s="102">
        <f t="shared" si="10"/>
        <v>8.5541874527449355</v>
      </c>
      <c r="N83" s="102">
        <f t="shared" si="3"/>
        <v>267.31835789827926</v>
      </c>
    </row>
    <row r="84" spans="1:14">
      <c r="A84" s="101">
        <v>40413</v>
      </c>
      <c r="B84" t="s">
        <v>156</v>
      </c>
      <c r="C84">
        <v>10.515000000000001</v>
      </c>
      <c r="D84">
        <v>325.87099999999998</v>
      </c>
      <c r="E84">
        <v>29.95</v>
      </c>
      <c r="F84">
        <v>5769</v>
      </c>
      <c r="G84">
        <v>17.899999999999999</v>
      </c>
      <c r="I84" s="102">
        <f t="shared" ref="I84:I101" si="11">(-((TAN(E84*PI()/180))/(TAN(($B$7+($B$14*(G84-$E$7)))*PI()/180))*($H$13+($B$15*(G84-$E$8)))+(TAN(E84*PI()/180))/(TAN(($B$7+($B$14*(G84-$E$7)))*PI()/180))*1/$B$16*($H$13+($B$15*(G84-$E$8)))-$B$13*1/$B$16*($H$13+($B$15*(G84-$E$8)))-($H$13+($B$15*(G84-$E$8)))+$B$13*($H$13+($B$15*(G84-$E$8))))+(SQRT((POWER(((TAN(E84*PI()/180))/(TAN(($B$7+($B$14*(G84-$E$7)))*PI()/180))*($H$13+($B$15*(G84-$E$8)))+(TAN(E84*PI()/180))/(TAN(($B$7+($B$14*(G84-$E$7)))*PI()/180))*1/$B$16*($H$13+($B$15*(G84-$E$8)))-$B$13*1/$B$16*($H$13+($B$15*(G84-$E$8)))-($H$13+($B$15*(G84-$E$8)))+$B$13*($H$13+($B$15*(G84-$E$8)))),2))-4*((TAN(E84*PI()/180))/(TAN(($B$7+($B$14*(G84-$E$7)))*PI()/180))*1/$B$16*POWER(($H$13+($B$15*(G84-$E$8))),2))*((TAN(E84*PI()/180))/(TAN(($B$7+($B$14*(G84-$E$7)))*PI()/180))-1))))/(2*((TAN(E84*PI()/180))/(TAN(($B$7+($B$14*(G84-$E$7)))*PI()/180))*1/$B$16*POWER(($H$13+($B$15*(G84-$E$8))),2)))</f>
        <v>110.02723342841539</v>
      </c>
      <c r="J84" s="103">
        <f t="shared" si="1"/>
        <v>22.995691786538814</v>
      </c>
      <c r="K84" s="75">
        <f t="shared" ref="K84:K101" si="12">($B$9-EXP(52.57-6690.9/(273.15+G84)-4.681*LN(273.15+G84)))*I84/100*0.2095</f>
        <v>230.37707624847627</v>
      </c>
      <c r="L84" s="75">
        <f t="shared" si="2"/>
        <v>172.79749497342993</v>
      </c>
      <c r="M84" s="102">
        <f t="shared" ref="M84:M101" si="13">(($B$9-EXP(52.57-6690.9/(273.15+G84)-4.681*LN(273.15+G84)))/1013)*I84/100*0.2095*((49-1.335*G84+0.02759*POWER(G84,2)-0.0003235*POWER(G84,3)+0.000001614*POWER(G84,4))
-($J$16*(5.516*10^-1-1.759*10^-2*G84+2.253*10^-4*POWER(G84,2)-2.654*10^-7*POWER(G84,3)+5.363*10^-8*POWER(G84,4))))*32/22.414</f>
        <v>8.6615870323124771</v>
      </c>
      <c r="N84" s="102">
        <f t="shared" si="3"/>
        <v>270.67459475976489</v>
      </c>
    </row>
    <row r="85" spans="1:14">
      <c r="A85" s="101">
        <v>40413</v>
      </c>
      <c r="B85" t="s">
        <v>157</v>
      </c>
      <c r="C85">
        <v>10.682</v>
      </c>
      <c r="D85">
        <v>324.733</v>
      </c>
      <c r="E85">
        <v>29.99</v>
      </c>
      <c r="F85">
        <v>5772</v>
      </c>
      <c r="G85">
        <v>17.899999999999999</v>
      </c>
      <c r="I85" s="102">
        <f t="shared" si="11"/>
        <v>109.64314712505563</v>
      </c>
      <c r="J85" s="103">
        <f t="shared" ref="J85:J148" si="14">I85*20.9/100</f>
        <v>22.915417749136626</v>
      </c>
      <c r="K85" s="75">
        <f t="shared" si="12"/>
        <v>229.57286917320999</v>
      </c>
      <c r="L85" s="75">
        <f t="shared" ref="L85:L148" si="15">K85/1.33322</f>
        <v>172.19428839442102</v>
      </c>
      <c r="M85" s="102">
        <f t="shared" si="13"/>
        <v>8.6313509094835403</v>
      </c>
      <c r="N85" s="102">
        <f t="shared" ref="N85:N148" si="16">M85*31.25</f>
        <v>269.72971592136065</v>
      </c>
    </row>
    <row r="86" spans="1:14">
      <c r="A86" s="101">
        <v>40413</v>
      </c>
      <c r="B86" t="s">
        <v>158</v>
      </c>
      <c r="C86">
        <v>10.849</v>
      </c>
      <c r="D86">
        <v>324.166</v>
      </c>
      <c r="E86">
        <v>30.01</v>
      </c>
      <c r="F86">
        <v>5763</v>
      </c>
      <c r="G86">
        <v>17.899999999999999</v>
      </c>
      <c r="I86" s="102">
        <f t="shared" si="11"/>
        <v>109.45168011790938</v>
      </c>
      <c r="J86" s="103">
        <f t="shared" si="14"/>
        <v>22.875401144643057</v>
      </c>
      <c r="K86" s="75">
        <f t="shared" si="12"/>
        <v>229.17197197776159</v>
      </c>
      <c r="L86" s="75">
        <f t="shared" si="15"/>
        <v>171.89358993846594</v>
      </c>
      <c r="M86" s="102">
        <f t="shared" si="13"/>
        <v>8.6162782034403342</v>
      </c>
      <c r="N86" s="102">
        <f t="shared" si="16"/>
        <v>269.25869385751042</v>
      </c>
    </row>
    <row r="87" spans="1:14">
      <c r="A87" s="101">
        <v>40413</v>
      </c>
      <c r="B87" t="s">
        <v>159</v>
      </c>
      <c r="C87">
        <v>11.016</v>
      </c>
      <c r="D87">
        <v>327.01299999999998</v>
      </c>
      <c r="E87">
        <v>29.91</v>
      </c>
      <c r="F87">
        <v>5761</v>
      </c>
      <c r="G87">
        <v>17.899999999999999</v>
      </c>
      <c r="I87" s="102">
        <f t="shared" si="11"/>
        <v>110.41286291380463</v>
      </c>
      <c r="J87" s="103">
        <f t="shared" si="14"/>
        <v>23.076288348985166</v>
      </c>
      <c r="K87" s="75">
        <f t="shared" si="12"/>
        <v>231.18451446709673</v>
      </c>
      <c r="L87" s="75">
        <f t="shared" si="15"/>
        <v>173.40312511595741</v>
      </c>
      <c r="M87" s="102">
        <f t="shared" si="13"/>
        <v>8.6919446378420009</v>
      </c>
      <c r="N87" s="102">
        <f t="shared" si="16"/>
        <v>271.62326993256255</v>
      </c>
    </row>
    <row r="88" spans="1:14">
      <c r="A88" s="101">
        <v>40413</v>
      </c>
      <c r="B88" t="s">
        <v>160</v>
      </c>
      <c r="C88">
        <v>11.183</v>
      </c>
      <c r="D88">
        <v>323.88299999999998</v>
      </c>
      <c r="E88">
        <v>30.02</v>
      </c>
      <c r="F88">
        <v>5766</v>
      </c>
      <c r="G88">
        <v>17.899999999999999</v>
      </c>
      <c r="I88" s="102">
        <f t="shared" si="11"/>
        <v>109.3560902062991</v>
      </c>
      <c r="J88" s="103">
        <f t="shared" si="14"/>
        <v>22.855422853116512</v>
      </c>
      <c r="K88" s="75">
        <f t="shared" si="12"/>
        <v>228.97182403557093</v>
      </c>
      <c r="L88" s="75">
        <f t="shared" si="15"/>
        <v>171.74346622130699</v>
      </c>
      <c r="M88" s="102">
        <f t="shared" si="13"/>
        <v>8.6087531542954601</v>
      </c>
      <c r="N88" s="102">
        <f t="shared" si="16"/>
        <v>269.02353607173313</v>
      </c>
    </row>
    <row r="89" spans="1:14">
      <c r="A89" s="101">
        <v>40413</v>
      </c>
      <c r="B89" t="s">
        <v>161</v>
      </c>
      <c r="C89">
        <v>11.35</v>
      </c>
      <c r="D89">
        <v>323.31799999999998</v>
      </c>
      <c r="E89">
        <v>30.04</v>
      </c>
      <c r="F89">
        <v>5765</v>
      </c>
      <c r="G89">
        <v>17.899999999999999</v>
      </c>
      <c r="I89" s="102">
        <f t="shared" si="11"/>
        <v>109.16519693463522</v>
      </c>
      <c r="J89" s="103">
        <f t="shared" si="14"/>
        <v>22.815526159338759</v>
      </c>
      <c r="K89" s="75">
        <f t="shared" si="12"/>
        <v>228.57212813819075</v>
      </c>
      <c r="L89" s="75">
        <f t="shared" si="15"/>
        <v>171.44366881549237</v>
      </c>
      <c r="M89" s="102">
        <f t="shared" si="13"/>
        <v>8.5937256139776768</v>
      </c>
      <c r="N89" s="102">
        <f t="shared" si="16"/>
        <v>268.55392543680239</v>
      </c>
    </row>
    <row r="90" spans="1:14">
      <c r="A90" s="101">
        <v>40413</v>
      </c>
      <c r="B90" t="s">
        <v>162</v>
      </c>
      <c r="C90">
        <v>11.516999999999999</v>
      </c>
      <c r="D90">
        <v>321.62799999999999</v>
      </c>
      <c r="E90">
        <v>30.1</v>
      </c>
      <c r="F90">
        <v>5759</v>
      </c>
      <c r="G90">
        <v>17.899999999999999</v>
      </c>
      <c r="I90" s="102">
        <f t="shared" si="11"/>
        <v>108.59480046383884</v>
      </c>
      <c r="J90" s="103">
        <f t="shared" si="14"/>
        <v>22.696313296942318</v>
      </c>
      <c r="K90" s="75">
        <f t="shared" si="12"/>
        <v>227.3778213547705</v>
      </c>
      <c r="L90" s="75">
        <f t="shared" si="15"/>
        <v>170.54786258439754</v>
      </c>
      <c r="M90" s="102">
        <f t="shared" si="13"/>
        <v>8.5488227429267454</v>
      </c>
      <c r="N90" s="102">
        <f t="shared" si="16"/>
        <v>267.15071071646082</v>
      </c>
    </row>
    <row r="91" spans="1:14">
      <c r="A91" s="101">
        <v>40413</v>
      </c>
      <c r="B91" t="s">
        <v>163</v>
      </c>
      <c r="C91">
        <v>11.683</v>
      </c>
      <c r="D91">
        <v>325.017</v>
      </c>
      <c r="E91">
        <v>29.98</v>
      </c>
      <c r="F91">
        <v>5756</v>
      </c>
      <c r="G91">
        <v>17.899999999999999</v>
      </c>
      <c r="I91" s="102">
        <f t="shared" si="11"/>
        <v>109.73902447411457</v>
      </c>
      <c r="J91" s="103">
        <f t="shared" si="14"/>
        <v>22.935456115089945</v>
      </c>
      <c r="K91" s="75">
        <f t="shared" si="12"/>
        <v>229.77361895729894</v>
      </c>
      <c r="L91" s="75">
        <f t="shared" si="15"/>
        <v>172.34486353137436</v>
      </c>
      <c r="M91" s="102">
        <f t="shared" si="13"/>
        <v>8.6388985863397565</v>
      </c>
      <c r="N91" s="102">
        <f t="shared" si="16"/>
        <v>269.96558082311736</v>
      </c>
    </row>
    <row r="92" spans="1:14">
      <c r="A92" s="101">
        <v>40413</v>
      </c>
      <c r="B92" t="s">
        <v>164</v>
      </c>
      <c r="C92">
        <v>11.851000000000001</v>
      </c>
      <c r="D92">
        <v>326.15600000000001</v>
      </c>
      <c r="E92">
        <v>29.94</v>
      </c>
      <c r="F92">
        <v>5748</v>
      </c>
      <c r="G92">
        <v>17.899999999999999</v>
      </c>
      <c r="I92" s="102">
        <f t="shared" si="11"/>
        <v>110.1234958070104</v>
      </c>
      <c r="J92" s="103">
        <f t="shared" si="14"/>
        <v>23.015810623665171</v>
      </c>
      <c r="K92" s="75">
        <f t="shared" si="12"/>
        <v>230.57863221459871</v>
      </c>
      <c r="L92" s="75">
        <f t="shared" si="15"/>
        <v>172.94867479830688</v>
      </c>
      <c r="M92" s="102">
        <f t="shared" si="13"/>
        <v>8.6691650195448879</v>
      </c>
      <c r="N92" s="102">
        <f t="shared" si="16"/>
        <v>270.91140686077773</v>
      </c>
    </row>
    <row r="93" spans="1:14">
      <c r="A93" s="101">
        <v>40413</v>
      </c>
      <c r="B93" t="s">
        <v>165</v>
      </c>
      <c r="C93">
        <v>12.016999999999999</v>
      </c>
      <c r="D93">
        <v>327.29899999999998</v>
      </c>
      <c r="E93">
        <v>29.9</v>
      </c>
      <c r="F93">
        <v>5745</v>
      </c>
      <c r="G93">
        <v>17.899999999999999</v>
      </c>
      <c r="I93" s="102">
        <f t="shared" si="11"/>
        <v>110.50951236711069</v>
      </c>
      <c r="J93" s="103">
        <f t="shared" si="14"/>
        <v>23.096488084726133</v>
      </c>
      <c r="K93" s="75">
        <f t="shared" si="12"/>
        <v>231.38688089747828</v>
      </c>
      <c r="L93" s="75">
        <f t="shared" si="15"/>
        <v>173.55491284070015</v>
      </c>
      <c r="M93" s="102">
        <f t="shared" si="13"/>
        <v>8.6995530964513037</v>
      </c>
      <c r="N93" s="102">
        <f t="shared" si="16"/>
        <v>271.86103426410324</v>
      </c>
    </row>
    <row r="94" spans="1:14">
      <c r="A94" s="101">
        <v>40413</v>
      </c>
      <c r="B94" t="s">
        <v>166</v>
      </c>
      <c r="C94">
        <v>12.183999999999999</v>
      </c>
      <c r="D94">
        <v>325.30200000000002</v>
      </c>
      <c r="E94">
        <v>29.97</v>
      </c>
      <c r="F94">
        <v>5738</v>
      </c>
      <c r="G94">
        <v>17.899999999999999</v>
      </c>
      <c r="I94" s="102">
        <f t="shared" si="11"/>
        <v>109.83499788950003</v>
      </c>
      <c r="J94" s="103">
        <f t="shared" si="14"/>
        <v>22.955514558905506</v>
      </c>
      <c r="K94" s="75">
        <f t="shared" si="12"/>
        <v>229.97456988685641</v>
      </c>
      <c r="L94" s="75">
        <f t="shared" si="15"/>
        <v>172.49558954025323</v>
      </c>
      <c r="M94" s="102">
        <f t="shared" si="13"/>
        <v>8.6464538257495551</v>
      </c>
      <c r="N94" s="102">
        <f t="shared" si="16"/>
        <v>270.2016820546736</v>
      </c>
    </row>
    <row r="95" spans="1:14">
      <c r="A95" s="101">
        <v>40413</v>
      </c>
      <c r="B95" t="s">
        <v>167</v>
      </c>
      <c r="C95">
        <v>12.351000000000001</v>
      </c>
      <c r="D95">
        <v>326.72699999999998</v>
      </c>
      <c r="E95">
        <v>29.92</v>
      </c>
      <c r="F95">
        <v>5730</v>
      </c>
      <c r="G95">
        <v>17.899999999999999</v>
      </c>
      <c r="I95" s="102">
        <f t="shared" si="11"/>
        <v>110.31631042159088</v>
      </c>
      <c r="J95" s="103">
        <f t="shared" si="14"/>
        <v>23.056108878112497</v>
      </c>
      <c r="K95" s="75">
        <f t="shared" si="12"/>
        <v>230.98235105566116</v>
      </c>
      <c r="L95" s="75">
        <f t="shared" si="15"/>
        <v>173.25148966836767</v>
      </c>
      <c r="M95" s="102">
        <f t="shared" si="13"/>
        <v>8.6843438122242222</v>
      </c>
      <c r="N95" s="102">
        <f t="shared" si="16"/>
        <v>271.38574413200695</v>
      </c>
    </row>
    <row r="96" spans="1:14">
      <c r="A96" s="101">
        <v>40413</v>
      </c>
      <c r="B96" t="s">
        <v>168</v>
      </c>
      <c r="C96">
        <v>12.518000000000001</v>
      </c>
      <c r="D96">
        <v>327.87299999999999</v>
      </c>
      <c r="E96">
        <v>29.88</v>
      </c>
      <c r="F96">
        <v>5748</v>
      </c>
      <c r="G96">
        <v>17.899999999999999</v>
      </c>
      <c r="I96" s="102">
        <f t="shared" si="11"/>
        <v>110.70310267159826</v>
      </c>
      <c r="J96" s="103">
        <f t="shared" si="14"/>
        <v>23.136948458364035</v>
      </c>
      <c r="K96" s="75">
        <f t="shared" si="12"/>
        <v>231.79222389255517</v>
      </c>
      <c r="L96" s="75">
        <f t="shared" si="15"/>
        <v>173.85894592982041</v>
      </c>
      <c r="M96" s="102">
        <f t="shared" si="13"/>
        <v>8.7147929531547952</v>
      </c>
      <c r="N96" s="102">
        <f t="shared" si="16"/>
        <v>272.33727978608732</v>
      </c>
    </row>
    <row r="97" spans="1:14">
      <c r="A97" s="101">
        <v>40413</v>
      </c>
      <c r="B97" t="s">
        <v>169</v>
      </c>
      <c r="C97">
        <v>12.685</v>
      </c>
      <c r="D97">
        <v>326.72699999999998</v>
      </c>
      <c r="E97">
        <v>29.92</v>
      </c>
      <c r="F97">
        <v>5738</v>
      </c>
      <c r="G97">
        <v>17.899999999999999</v>
      </c>
      <c r="I97" s="102">
        <f t="shared" si="11"/>
        <v>110.31631042159088</v>
      </c>
      <c r="J97" s="103">
        <f t="shared" si="14"/>
        <v>23.056108878112497</v>
      </c>
      <c r="K97" s="75">
        <f t="shared" si="12"/>
        <v>230.98235105566116</v>
      </c>
      <c r="L97" s="75">
        <f t="shared" si="15"/>
        <v>173.25148966836767</v>
      </c>
      <c r="M97" s="102">
        <f t="shared" si="13"/>
        <v>8.6843438122242222</v>
      </c>
      <c r="N97" s="102">
        <f t="shared" si="16"/>
        <v>271.38574413200695</v>
      </c>
    </row>
    <row r="98" spans="1:14">
      <c r="A98" s="101">
        <v>40413</v>
      </c>
      <c r="B98" t="s">
        <v>170</v>
      </c>
      <c r="C98">
        <v>12.852</v>
      </c>
      <c r="D98">
        <v>327.58600000000001</v>
      </c>
      <c r="E98">
        <v>29.89</v>
      </c>
      <c r="F98">
        <v>5730</v>
      </c>
      <c r="G98">
        <v>17.899999999999999</v>
      </c>
      <c r="I98" s="102">
        <f t="shared" si="11"/>
        <v>110.60625891010979</v>
      </c>
      <c r="J98" s="103">
        <f t="shared" si="14"/>
        <v>23.116708112212947</v>
      </c>
      <c r="K98" s="75">
        <f t="shared" si="12"/>
        <v>231.58945061607236</v>
      </c>
      <c r="L98" s="75">
        <f t="shared" si="15"/>
        <v>173.70685304456305</v>
      </c>
      <c r="M98" s="102">
        <f t="shared" si="13"/>
        <v>8.7071691981758548</v>
      </c>
      <c r="N98" s="102">
        <f t="shared" si="16"/>
        <v>272.09903744299544</v>
      </c>
    </row>
    <row r="99" spans="1:14">
      <c r="A99" s="101">
        <v>40413</v>
      </c>
      <c r="B99" t="s">
        <v>171</v>
      </c>
      <c r="C99">
        <v>13.019</v>
      </c>
      <c r="D99">
        <v>329.6</v>
      </c>
      <c r="E99">
        <v>29.82</v>
      </c>
      <c r="F99">
        <v>5723</v>
      </c>
      <c r="G99">
        <v>17.899999999999999</v>
      </c>
      <c r="I99" s="102">
        <f t="shared" si="11"/>
        <v>111.28621406607812</v>
      </c>
      <c r="J99" s="103">
        <f t="shared" si="14"/>
        <v>23.258818739810327</v>
      </c>
      <c r="K99" s="75">
        <f t="shared" si="12"/>
        <v>233.01315342065095</v>
      </c>
      <c r="L99" s="75">
        <f t="shared" si="15"/>
        <v>174.77472091676614</v>
      </c>
      <c r="M99" s="102">
        <f t="shared" si="13"/>
        <v>8.760696771104616</v>
      </c>
      <c r="N99" s="102">
        <f t="shared" si="16"/>
        <v>273.77177409701926</v>
      </c>
    </row>
    <row r="100" spans="1:14">
      <c r="A100" s="101">
        <v>40413</v>
      </c>
      <c r="B100" t="s">
        <v>172</v>
      </c>
      <c r="C100">
        <v>13.186</v>
      </c>
      <c r="D100">
        <v>328.89299999999997</v>
      </c>
      <c r="E100">
        <v>29.8</v>
      </c>
      <c r="F100">
        <v>5725</v>
      </c>
      <c r="G100">
        <v>18</v>
      </c>
      <c r="I100" s="102">
        <f t="shared" si="11"/>
        <v>111.27522553078123</v>
      </c>
      <c r="J100" s="103">
        <f t="shared" si="14"/>
        <v>23.256522135933274</v>
      </c>
      <c r="K100" s="75">
        <f t="shared" si="12"/>
        <v>232.95990730553029</v>
      </c>
      <c r="L100" s="75">
        <f t="shared" si="15"/>
        <v>174.73478293569724</v>
      </c>
      <c r="M100" s="102">
        <f t="shared" si="13"/>
        <v>8.7433269286974404</v>
      </c>
      <c r="N100" s="102">
        <f t="shared" si="16"/>
        <v>273.22896652179503</v>
      </c>
    </row>
    <row r="101" spans="1:14">
      <c r="A101" s="101">
        <v>40413</v>
      </c>
      <c r="B101" t="s">
        <v>173</v>
      </c>
      <c r="C101">
        <v>13.353</v>
      </c>
      <c r="D101">
        <v>328.03</v>
      </c>
      <c r="E101">
        <v>29.83</v>
      </c>
      <c r="F101">
        <v>5722</v>
      </c>
      <c r="G101">
        <v>18</v>
      </c>
      <c r="I101" s="102">
        <f t="shared" si="11"/>
        <v>110.9831658490386</v>
      </c>
      <c r="J101" s="103">
        <f t="shared" si="14"/>
        <v>23.195481662449065</v>
      </c>
      <c r="K101" s="75">
        <f t="shared" si="12"/>
        <v>232.34846665410132</v>
      </c>
      <c r="L101" s="75">
        <f t="shared" si="15"/>
        <v>174.27616346447047</v>
      </c>
      <c r="M101" s="102">
        <f t="shared" si="13"/>
        <v>8.7203786644455672</v>
      </c>
      <c r="N101" s="102">
        <f t="shared" si="16"/>
        <v>272.51183326392396</v>
      </c>
    </row>
    <row r="102" spans="1:14">
      <c r="A102" s="101">
        <v>40413</v>
      </c>
      <c r="B102" t="s">
        <v>174</v>
      </c>
      <c r="C102">
        <v>13.52</v>
      </c>
      <c r="D102">
        <v>329.18200000000002</v>
      </c>
      <c r="E102">
        <v>29.79</v>
      </c>
      <c r="F102">
        <v>5719</v>
      </c>
      <c r="G102">
        <v>18</v>
      </c>
      <c r="I102" s="102">
        <f t="shared" ref="I102:I150" si="17">(-((TAN(E102*PI()/180))/(TAN(($B$7+($B$14*(G102-$E$7)))*PI()/180))*($H$13+($B$15*(G102-$E$8)))+(TAN(E102*PI()/180))/(TAN(($B$7+($B$14*(G102-$E$7)))*PI()/180))*1/$B$16*($H$13+($B$15*(G102-$E$8)))-$B$13*1/$B$16*($H$13+($B$15*(G102-$E$8)))-($H$13+($B$15*(G102-$E$8)))+$B$13*($H$13+($B$15*(G102-$E$8))))+(SQRT((POWER(((TAN(E102*PI()/180))/(TAN(($B$7+($B$14*(G102-$E$7)))*PI()/180))*($H$13+($B$15*(G102-$E$8)))+(TAN(E102*PI()/180))/(TAN(($B$7+($B$14*(G102-$E$7)))*PI()/180))*1/$B$16*($H$13+($B$15*(G102-$E$8)))-$B$13*1/$B$16*($H$13+($B$15*(G102-$E$8)))-($H$13+($B$15*(G102-$E$8)))+$B$13*($H$13+($B$15*(G102-$E$8)))),2))-4*((TAN(E102*PI()/180))/(TAN(($B$7+($B$14*(G102-$E$7)))*PI()/180))*1/$B$16*POWER(($H$13+($B$15*(G102-$E$8))),2))*((TAN(E102*PI()/180))/(TAN(($B$7+($B$14*(G102-$E$7)))*PI()/180))-1))))/(2*((TAN(E102*PI()/180))/(TAN(($B$7+($B$14*(G102-$E$7)))*PI()/180))*1/$B$16*POWER(($H$13+($B$15*(G102-$E$8))),2)))</f>
        <v>111.3727750054972</v>
      </c>
      <c r="J102" s="103">
        <f t="shared" si="14"/>
        <v>23.276909976148914</v>
      </c>
      <c r="K102" s="75">
        <f t="shared" ref="K102:K150" si="18">($B$9-EXP(52.57-6690.9/(273.15+G102)-4.681*LN(273.15+G102)))*I102/100*0.2095</f>
        <v>233.16413170929255</v>
      </c>
      <c r="L102" s="75">
        <f t="shared" si="15"/>
        <v>174.88796425893142</v>
      </c>
      <c r="M102" s="102">
        <f t="shared" ref="M102:M150" si="19">(($B$9-EXP(52.57-6690.9/(273.15+G102)-4.681*LN(273.15+G102)))/1013)*I102/100*0.2095*((49-1.335*G102+0.02759*POWER(G102,2)-0.0003235*POWER(G102,3)+0.000001614*POWER(G102,4))
-($J$16*(5.516*10^-1-1.759*10^-2*G102+2.253*10^-4*POWER(G102,2)-2.654*10^-7*POWER(G102,3)+5.363*10^-8*POWER(G102,4))))*32/22.414</f>
        <v>8.7509917700410185</v>
      </c>
      <c r="N102" s="102">
        <f t="shared" si="16"/>
        <v>273.46849281378184</v>
      </c>
    </row>
    <row r="103" spans="1:14">
      <c r="A103" s="101">
        <v>40413</v>
      </c>
      <c r="B103" t="s">
        <v>175</v>
      </c>
      <c r="C103">
        <v>13.686999999999999</v>
      </c>
      <c r="D103">
        <v>329.18200000000002</v>
      </c>
      <c r="E103">
        <v>29.79</v>
      </c>
      <c r="F103">
        <v>5721</v>
      </c>
      <c r="G103">
        <v>18</v>
      </c>
      <c r="I103" s="102">
        <f t="shared" si="17"/>
        <v>111.3727750054972</v>
      </c>
      <c r="J103" s="103">
        <f t="shared" si="14"/>
        <v>23.276909976148914</v>
      </c>
      <c r="K103" s="75">
        <f t="shared" si="18"/>
        <v>233.16413170929255</v>
      </c>
      <c r="L103" s="75">
        <f t="shared" si="15"/>
        <v>174.88796425893142</v>
      </c>
      <c r="M103" s="102">
        <f t="shared" si="19"/>
        <v>8.7509917700410185</v>
      </c>
      <c r="N103" s="102">
        <f t="shared" si="16"/>
        <v>273.46849281378184</v>
      </c>
    </row>
    <row r="104" spans="1:14">
      <c r="A104" s="101">
        <v>40413</v>
      </c>
      <c r="B104" t="s">
        <v>176</v>
      </c>
      <c r="C104">
        <v>13.853</v>
      </c>
      <c r="D104">
        <v>328.03</v>
      </c>
      <c r="E104">
        <v>29.83</v>
      </c>
      <c r="F104">
        <v>5713</v>
      </c>
      <c r="G104">
        <v>18</v>
      </c>
      <c r="I104" s="102">
        <f t="shared" si="17"/>
        <v>110.9831658490386</v>
      </c>
      <c r="J104" s="103">
        <f t="shared" si="14"/>
        <v>23.195481662449065</v>
      </c>
      <c r="K104" s="75">
        <f t="shared" si="18"/>
        <v>232.34846665410132</v>
      </c>
      <c r="L104" s="75">
        <f t="shared" si="15"/>
        <v>174.27616346447047</v>
      </c>
      <c r="M104" s="102">
        <f t="shared" si="19"/>
        <v>8.7203786644455672</v>
      </c>
      <c r="N104" s="102">
        <f t="shared" si="16"/>
        <v>272.51183326392396</v>
      </c>
    </row>
    <row r="105" spans="1:14">
      <c r="A105" s="101">
        <v>40413</v>
      </c>
      <c r="B105" t="s">
        <v>177</v>
      </c>
      <c r="C105">
        <v>14.021000000000001</v>
      </c>
      <c r="D105">
        <v>328.60500000000002</v>
      </c>
      <c r="E105">
        <v>29.81</v>
      </c>
      <c r="F105">
        <v>5700</v>
      </c>
      <c r="G105">
        <v>18</v>
      </c>
      <c r="I105" s="102">
        <f t="shared" si="17"/>
        <v>111.1777742666663</v>
      </c>
      <c r="J105" s="103">
        <f t="shared" si="14"/>
        <v>23.236154821733258</v>
      </c>
      <c r="K105" s="75">
        <f t="shared" si="18"/>
        <v>232.75588851027078</v>
      </c>
      <c r="L105" s="75">
        <f t="shared" si="15"/>
        <v>174.58175583194878</v>
      </c>
      <c r="M105" s="102">
        <f t="shared" si="19"/>
        <v>8.7356698041424696</v>
      </c>
      <c r="N105" s="102">
        <f t="shared" si="16"/>
        <v>272.98968137945218</v>
      </c>
    </row>
    <row r="106" spans="1:14">
      <c r="A106" s="101">
        <v>40413</v>
      </c>
      <c r="B106" t="s">
        <v>178</v>
      </c>
      <c r="C106">
        <v>14.188000000000001</v>
      </c>
      <c r="D106">
        <v>332.66399999999999</v>
      </c>
      <c r="E106">
        <v>29.67</v>
      </c>
      <c r="F106">
        <v>5704</v>
      </c>
      <c r="G106">
        <v>18</v>
      </c>
      <c r="I106" s="102">
        <f t="shared" si="17"/>
        <v>112.5510768476982</v>
      </c>
      <c r="J106" s="103">
        <f t="shared" si="14"/>
        <v>23.523175061168921</v>
      </c>
      <c r="K106" s="75">
        <f t="shared" si="18"/>
        <v>235.6309619190516</v>
      </c>
      <c r="L106" s="75">
        <f t="shared" si="15"/>
        <v>176.73824419004484</v>
      </c>
      <c r="M106" s="102">
        <f t="shared" si="19"/>
        <v>8.8435755251213433</v>
      </c>
      <c r="N106" s="102">
        <f t="shared" si="16"/>
        <v>276.36173516004197</v>
      </c>
    </row>
    <row r="107" spans="1:14">
      <c r="A107" s="101">
        <v>40413</v>
      </c>
      <c r="B107" t="s">
        <v>179</v>
      </c>
      <c r="C107">
        <v>14.355</v>
      </c>
      <c r="D107">
        <v>332.08100000000002</v>
      </c>
      <c r="E107">
        <v>29.69</v>
      </c>
      <c r="F107">
        <v>5703</v>
      </c>
      <c r="G107">
        <v>18</v>
      </c>
      <c r="I107" s="102">
        <f t="shared" si="17"/>
        <v>112.35370015473734</v>
      </c>
      <c r="J107" s="103">
        <f t="shared" si="14"/>
        <v>23.481923332340102</v>
      </c>
      <c r="K107" s="75">
        <f t="shared" si="18"/>
        <v>235.21774454854426</v>
      </c>
      <c r="L107" s="75">
        <f t="shared" si="15"/>
        <v>176.42830481731767</v>
      </c>
      <c r="M107" s="102">
        <f t="shared" si="19"/>
        <v>8.828066871272922</v>
      </c>
      <c r="N107" s="102">
        <f t="shared" si="16"/>
        <v>275.87708972727881</v>
      </c>
    </row>
    <row r="108" spans="1:14">
      <c r="A108" s="101">
        <v>40413</v>
      </c>
      <c r="B108" t="s">
        <v>180</v>
      </c>
      <c r="C108">
        <v>14.522</v>
      </c>
      <c r="D108">
        <v>331.49900000000002</v>
      </c>
      <c r="E108">
        <v>29.71</v>
      </c>
      <c r="F108">
        <v>5690</v>
      </c>
      <c r="G108">
        <v>18</v>
      </c>
      <c r="I108" s="102">
        <f t="shared" si="17"/>
        <v>112.15672209236331</v>
      </c>
      <c r="J108" s="103">
        <f t="shared" si="14"/>
        <v>23.440754917303931</v>
      </c>
      <c r="K108" s="75">
        <f t="shared" si="18"/>
        <v>234.80536172988008</v>
      </c>
      <c r="L108" s="75">
        <f t="shared" si="15"/>
        <v>176.11899141168004</v>
      </c>
      <c r="M108" s="102">
        <f t="shared" si="19"/>
        <v>8.8125895393789424</v>
      </c>
      <c r="N108" s="102">
        <f t="shared" si="16"/>
        <v>275.39342310559198</v>
      </c>
    </row>
    <row r="109" spans="1:14">
      <c r="A109" s="101">
        <v>40413</v>
      </c>
      <c r="B109" t="s">
        <v>181</v>
      </c>
      <c r="C109">
        <v>14.689</v>
      </c>
      <c r="D109">
        <v>329.47</v>
      </c>
      <c r="E109">
        <v>29.78</v>
      </c>
      <c r="F109">
        <v>5709</v>
      </c>
      <c r="G109">
        <v>18</v>
      </c>
      <c r="I109" s="102">
        <f t="shared" si="17"/>
        <v>111.47042282136204</v>
      </c>
      <c r="J109" s="103">
        <f t="shared" si="14"/>
        <v>23.297318369664662</v>
      </c>
      <c r="K109" s="75">
        <f t="shared" si="18"/>
        <v>233.36856199486556</v>
      </c>
      <c r="L109" s="75">
        <f t="shared" si="15"/>
        <v>175.04130000664972</v>
      </c>
      <c r="M109" s="102">
        <f t="shared" si="19"/>
        <v>8.7586643384308562</v>
      </c>
      <c r="N109" s="102">
        <f t="shared" si="16"/>
        <v>273.70826057596423</v>
      </c>
    </row>
    <row r="110" spans="1:14">
      <c r="A110" s="101">
        <v>40413</v>
      </c>
      <c r="B110" t="s">
        <v>182</v>
      </c>
      <c r="C110">
        <v>14.856</v>
      </c>
      <c r="D110">
        <v>328.31799999999998</v>
      </c>
      <c r="E110">
        <v>29.82</v>
      </c>
      <c r="F110">
        <v>5688</v>
      </c>
      <c r="G110">
        <v>18</v>
      </c>
      <c r="I110" s="102">
        <f t="shared" si="17"/>
        <v>111.08042108280272</v>
      </c>
      <c r="J110" s="103">
        <f t="shared" si="14"/>
        <v>23.215808006305764</v>
      </c>
      <c r="K110" s="75">
        <f t="shared" si="18"/>
        <v>232.5520750506208</v>
      </c>
      <c r="L110" s="75">
        <f t="shared" si="15"/>
        <v>174.42888274299875</v>
      </c>
      <c r="M110" s="102">
        <f t="shared" si="19"/>
        <v>8.7280203861340233</v>
      </c>
      <c r="N110" s="102">
        <f t="shared" si="16"/>
        <v>272.75063706668823</v>
      </c>
    </row>
    <row r="111" spans="1:14">
      <c r="A111" s="101">
        <v>40413</v>
      </c>
      <c r="B111" t="s">
        <v>183</v>
      </c>
      <c r="C111">
        <v>15.023</v>
      </c>
      <c r="D111">
        <v>327.74299999999999</v>
      </c>
      <c r="E111">
        <v>29.84</v>
      </c>
      <c r="F111">
        <v>5698</v>
      </c>
      <c r="G111">
        <v>18</v>
      </c>
      <c r="I111" s="102">
        <f t="shared" si="17"/>
        <v>110.88600843541965</v>
      </c>
      <c r="J111" s="103">
        <f t="shared" si="14"/>
        <v>23.175175763002709</v>
      </c>
      <c r="K111" s="75">
        <f t="shared" si="18"/>
        <v>232.14506304864685</v>
      </c>
      <c r="L111" s="75">
        <f t="shared" si="15"/>
        <v>174.12359779229746</v>
      </c>
      <c r="M111" s="102">
        <f t="shared" si="19"/>
        <v>8.7127446288660835</v>
      </c>
      <c r="N111" s="102">
        <f t="shared" si="16"/>
        <v>272.2732696520651</v>
      </c>
    </row>
    <row r="112" spans="1:14">
      <c r="A112" s="101">
        <v>40413</v>
      </c>
      <c r="B112" t="s">
        <v>184</v>
      </c>
      <c r="C112">
        <v>15.19</v>
      </c>
      <c r="D112">
        <v>333.54199999999997</v>
      </c>
      <c r="E112">
        <v>29.64</v>
      </c>
      <c r="F112">
        <v>5687</v>
      </c>
      <c r="G112">
        <v>18</v>
      </c>
      <c r="I112" s="102">
        <f t="shared" si="17"/>
        <v>112.84789164524754</v>
      </c>
      <c r="J112" s="103">
        <f t="shared" si="14"/>
        <v>23.585209353856737</v>
      </c>
      <c r="K112" s="75">
        <f t="shared" si="18"/>
        <v>236.25235762860129</v>
      </c>
      <c r="L112" s="75">
        <f t="shared" si="15"/>
        <v>177.20433058955106</v>
      </c>
      <c r="M112" s="102">
        <f t="shared" si="19"/>
        <v>8.8668974173023791</v>
      </c>
      <c r="N112" s="102">
        <f t="shared" si="16"/>
        <v>277.09054429069937</v>
      </c>
    </row>
    <row r="113" spans="1:14">
      <c r="A113" s="101">
        <v>40413</v>
      </c>
      <c r="B113" t="s">
        <v>185</v>
      </c>
      <c r="C113">
        <v>15.356</v>
      </c>
      <c r="D113">
        <v>332.95699999999999</v>
      </c>
      <c r="E113">
        <v>29.66</v>
      </c>
      <c r="F113">
        <v>5678</v>
      </c>
      <c r="G113">
        <v>18</v>
      </c>
      <c r="I113" s="102">
        <f t="shared" si="17"/>
        <v>112.64991501264713</v>
      </c>
      <c r="J113" s="103">
        <f t="shared" si="14"/>
        <v>23.543832237643247</v>
      </c>
      <c r="K113" s="75">
        <f t="shared" si="18"/>
        <v>235.83788425630067</v>
      </c>
      <c r="L113" s="75">
        <f t="shared" si="15"/>
        <v>176.89344913540199</v>
      </c>
      <c r="M113" s="102">
        <f t="shared" si="19"/>
        <v>8.8513416238648777</v>
      </c>
      <c r="N113" s="102">
        <f t="shared" si="16"/>
        <v>276.60442574577741</v>
      </c>
    </row>
    <row r="114" spans="1:14">
      <c r="A114" s="101">
        <v>40413</v>
      </c>
      <c r="B114" t="s">
        <v>186</v>
      </c>
      <c r="C114">
        <v>15.523</v>
      </c>
      <c r="D114">
        <v>334.25599999999997</v>
      </c>
      <c r="E114">
        <v>29.66</v>
      </c>
      <c r="F114">
        <v>5689</v>
      </c>
      <c r="G114">
        <v>17.899999999999999</v>
      </c>
      <c r="I114" s="102">
        <f t="shared" si="17"/>
        <v>112.85852487670036</v>
      </c>
      <c r="J114" s="103">
        <f t="shared" si="14"/>
        <v>23.587431699230375</v>
      </c>
      <c r="K114" s="75">
        <f t="shared" si="18"/>
        <v>236.30528716080076</v>
      </c>
      <c r="L114" s="75">
        <f t="shared" si="15"/>
        <v>177.2440311132452</v>
      </c>
      <c r="M114" s="102">
        <f t="shared" si="19"/>
        <v>8.8844725537331115</v>
      </c>
      <c r="N114" s="102">
        <f t="shared" si="16"/>
        <v>277.63976730415976</v>
      </c>
    </row>
    <row r="115" spans="1:14">
      <c r="A115" s="101">
        <v>40413</v>
      </c>
      <c r="B115" t="s">
        <v>187</v>
      </c>
      <c r="C115">
        <v>15.69</v>
      </c>
      <c r="D115">
        <v>329.6</v>
      </c>
      <c r="E115">
        <v>29.82</v>
      </c>
      <c r="F115">
        <v>5676</v>
      </c>
      <c r="G115">
        <v>17.899999999999999</v>
      </c>
      <c r="I115" s="102">
        <f t="shared" si="17"/>
        <v>111.28621406607812</v>
      </c>
      <c r="J115" s="103">
        <f t="shared" si="14"/>
        <v>23.258818739810327</v>
      </c>
      <c r="K115" s="75">
        <f t="shared" si="18"/>
        <v>233.01315342065095</v>
      </c>
      <c r="L115" s="75">
        <f t="shared" si="15"/>
        <v>174.77472091676614</v>
      </c>
      <c r="M115" s="102">
        <f t="shared" si="19"/>
        <v>8.760696771104616</v>
      </c>
      <c r="N115" s="102">
        <f t="shared" si="16"/>
        <v>273.77177409701926</v>
      </c>
    </row>
    <row r="116" spans="1:14">
      <c r="A116" s="101">
        <v>40413</v>
      </c>
      <c r="B116" t="s">
        <v>188</v>
      </c>
      <c r="C116">
        <v>15.856999999999999</v>
      </c>
      <c r="D116">
        <v>334.84399999999999</v>
      </c>
      <c r="E116">
        <v>29.64</v>
      </c>
      <c r="F116">
        <v>5684</v>
      </c>
      <c r="G116">
        <v>17.899999999999999</v>
      </c>
      <c r="I116" s="102">
        <f t="shared" si="17"/>
        <v>113.05685682243067</v>
      </c>
      <c r="J116" s="103">
        <f t="shared" si="14"/>
        <v>23.628883075888012</v>
      </c>
      <c r="K116" s="75">
        <f t="shared" si="18"/>
        <v>236.72055829286782</v>
      </c>
      <c r="L116" s="75">
        <f t="shared" si="15"/>
        <v>177.5555109380806</v>
      </c>
      <c r="M116" s="102">
        <f t="shared" si="19"/>
        <v>8.9000856829167052</v>
      </c>
      <c r="N116" s="102">
        <f t="shared" si="16"/>
        <v>278.12767759114706</v>
      </c>
    </row>
    <row r="117" spans="1:14">
      <c r="A117" s="101">
        <v>40413</v>
      </c>
      <c r="B117" t="s">
        <v>189</v>
      </c>
      <c r="C117">
        <v>16.024000000000001</v>
      </c>
      <c r="D117">
        <v>334.25599999999997</v>
      </c>
      <c r="E117">
        <v>29.66</v>
      </c>
      <c r="F117">
        <v>5677</v>
      </c>
      <c r="G117">
        <v>17.899999999999999</v>
      </c>
      <c r="I117" s="102">
        <f t="shared" si="17"/>
        <v>112.85852487670036</v>
      </c>
      <c r="J117" s="103">
        <f t="shared" si="14"/>
        <v>23.587431699230375</v>
      </c>
      <c r="K117" s="75">
        <f t="shared" si="18"/>
        <v>236.30528716080076</v>
      </c>
      <c r="L117" s="75">
        <f t="shared" si="15"/>
        <v>177.2440311132452</v>
      </c>
      <c r="M117" s="102">
        <f t="shared" si="19"/>
        <v>8.8844725537331115</v>
      </c>
      <c r="N117" s="102">
        <f t="shared" si="16"/>
        <v>277.63976730415976</v>
      </c>
    </row>
    <row r="118" spans="1:14">
      <c r="A118" s="101">
        <v>40413</v>
      </c>
      <c r="B118" t="s">
        <v>190</v>
      </c>
      <c r="C118">
        <v>16.190999999999999</v>
      </c>
      <c r="D118">
        <v>333.67</v>
      </c>
      <c r="E118">
        <v>29.68</v>
      </c>
      <c r="F118">
        <v>5676</v>
      </c>
      <c r="G118">
        <v>17.899999999999999</v>
      </c>
      <c r="I118" s="102">
        <f t="shared" si="17"/>
        <v>112.66059387288333</v>
      </c>
      <c r="J118" s="103">
        <f t="shared" si="14"/>
        <v>23.546064119432614</v>
      </c>
      <c r="K118" s="75">
        <f t="shared" si="18"/>
        <v>235.89085552839987</v>
      </c>
      <c r="L118" s="75">
        <f t="shared" si="15"/>
        <v>176.93318096668207</v>
      </c>
      <c r="M118" s="102">
        <f t="shared" si="19"/>
        <v>8.8688909875832245</v>
      </c>
      <c r="N118" s="102">
        <f t="shared" si="16"/>
        <v>277.15284336197578</v>
      </c>
    </row>
    <row r="119" spans="1:14">
      <c r="A119" s="101">
        <v>40413</v>
      </c>
      <c r="B119" t="s">
        <v>191</v>
      </c>
      <c r="C119">
        <v>16.358000000000001</v>
      </c>
      <c r="D119">
        <v>333.08499999999998</v>
      </c>
      <c r="E119">
        <v>29.7</v>
      </c>
      <c r="F119">
        <v>5680</v>
      </c>
      <c r="G119">
        <v>17.899999999999999</v>
      </c>
      <c r="I119" s="102">
        <f t="shared" si="17"/>
        <v>112.46306274478631</v>
      </c>
      <c r="J119" s="103">
        <f t="shared" si="14"/>
        <v>23.504780113660335</v>
      </c>
      <c r="K119" s="75">
        <f t="shared" si="18"/>
        <v>235.47726116324972</v>
      </c>
      <c r="L119" s="75">
        <f t="shared" si="15"/>
        <v>176.62295882393732</v>
      </c>
      <c r="M119" s="102">
        <f t="shared" si="19"/>
        <v>8.8533409005339454</v>
      </c>
      <c r="N119" s="102">
        <f t="shared" si="16"/>
        <v>276.66690314168579</v>
      </c>
    </row>
    <row r="120" spans="1:14">
      <c r="A120" s="101">
        <v>40413</v>
      </c>
      <c r="B120" t="s">
        <v>192</v>
      </c>
      <c r="C120">
        <v>16.524999999999999</v>
      </c>
      <c r="D120">
        <v>333.37799999999999</v>
      </c>
      <c r="E120">
        <v>29.69</v>
      </c>
      <c r="F120">
        <v>5682</v>
      </c>
      <c r="G120">
        <v>17.899999999999999</v>
      </c>
      <c r="I120" s="102">
        <f t="shared" si="17"/>
        <v>112.56177839088028</v>
      </c>
      <c r="J120" s="103">
        <f t="shared" si="14"/>
        <v>23.525411683693978</v>
      </c>
      <c r="K120" s="75">
        <f t="shared" si="18"/>
        <v>235.6839538266793</v>
      </c>
      <c r="L120" s="75">
        <f t="shared" si="15"/>
        <v>176.77799149928691</v>
      </c>
      <c r="M120" s="102">
        <f t="shared" si="19"/>
        <v>8.8611120144068565</v>
      </c>
      <c r="N120" s="102">
        <f t="shared" si="16"/>
        <v>276.90975045021429</v>
      </c>
    </row>
    <row r="121" spans="1:14">
      <c r="A121" s="101">
        <v>40413</v>
      </c>
      <c r="B121" t="s">
        <v>193</v>
      </c>
      <c r="C121">
        <v>16.692</v>
      </c>
      <c r="D121">
        <v>333.08499999999998</v>
      </c>
      <c r="E121">
        <v>29.7</v>
      </c>
      <c r="F121">
        <v>5672</v>
      </c>
      <c r="G121">
        <v>17.899999999999999</v>
      </c>
      <c r="I121" s="102">
        <f t="shared" si="17"/>
        <v>112.46306274478631</v>
      </c>
      <c r="J121" s="103">
        <f t="shared" si="14"/>
        <v>23.504780113660335</v>
      </c>
      <c r="K121" s="75">
        <f t="shared" si="18"/>
        <v>235.47726116324972</v>
      </c>
      <c r="L121" s="75">
        <f t="shared" si="15"/>
        <v>176.62295882393732</v>
      </c>
      <c r="M121" s="102">
        <f t="shared" si="19"/>
        <v>8.8533409005339454</v>
      </c>
      <c r="N121" s="102">
        <f t="shared" si="16"/>
        <v>276.66690314168579</v>
      </c>
    </row>
    <row r="122" spans="1:14">
      <c r="A122" s="101">
        <v>40413</v>
      </c>
      <c r="B122" t="s">
        <v>194</v>
      </c>
      <c r="C122">
        <v>16.859000000000002</v>
      </c>
      <c r="D122">
        <v>333.08499999999998</v>
      </c>
      <c r="E122">
        <v>29.7</v>
      </c>
      <c r="F122">
        <v>5662</v>
      </c>
      <c r="G122">
        <v>17.899999999999999</v>
      </c>
      <c r="I122" s="102">
        <f t="shared" si="17"/>
        <v>112.46306274478631</v>
      </c>
      <c r="J122" s="103">
        <f t="shared" si="14"/>
        <v>23.504780113660335</v>
      </c>
      <c r="K122" s="75">
        <f t="shared" si="18"/>
        <v>235.47726116324972</v>
      </c>
      <c r="L122" s="75">
        <f t="shared" si="15"/>
        <v>176.62295882393732</v>
      </c>
      <c r="M122" s="102">
        <f t="shared" si="19"/>
        <v>8.8533409005339454</v>
      </c>
      <c r="N122" s="102">
        <f t="shared" si="16"/>
        <v>276.66690314168579</v>
      </c>
    </row>
    <row r="123" spans="1:14">
      <c r="A123" s="101">
        <v>40413</v>
      </c>
      <c r="B123" t="s">
        <v>195</v>
      </c>
      <c r="C123">
        <v>17.024999999999999</v>
      </c>
      <c r="D123">
        <v>337.50200000000001</v>
      </c>
      <c r="E123">
        <v>29.55</v>
      </c>
      <c r="F123">
        <v>5666</v>
      </c>
      <c r="G123">
        <v>17.899999999999999</v>
      </c>
      <c r="I123" s="102">
        <f t="shared" si="17"/>
        <v>113.95434098532961</v>
      </c>
      <c r="J123" s="103">
        <f t="shared" si="14"/>
        <v>23.816457265933888</v>
      </c>
      <c r="K123" s="75">
        <f t="shared" si="18"/>
        <v>238.59972739478374</v>
      </c>
      <c r="L123" s="75">
        <f t="shared" si="15"/>
        <v>178.96500757173141</v>
      </c>
      <c r="M123" s="102">
        <f t="shared" si="19"/>
        <v>8.9707376201221312</v>
      </c>
      <c r="N123" s="102">
        <f t="shared" si="16"/>
        <v>280.33555062881658</v>
      </c>
    </row>
    <row r="124" spans="1:14">
      <c r="A124" s="101">
        <v>40413</v>
      </c>
      <c r="B124" t="s">
        <v>196</v>
      </c>
      <c r="C124">
        <v>17.192</v>
      </c>
      <c r="D124">
        <v>334.84399999999999</v>
      </c>
      <c r="E124">
        <v>29.64</v>
      </c>
      <c r="F124">
        <v>5663</v>
      </c>
      <c r="G124">
        <v>17.899999999999999</v>
      </c>
      <c r="I124" s="102">
        <f t="shared" si="17"/>
        <v>113.05685682243067</v>
      </c>
      <c r="J124" s="103">
        <f t="shared" si="14"/>
        <v>23.628883075888012</v>
      </c>
      <c r="K124" s="75">
        <f t="shared" si="18"/>
        <v>236.72055829286782</v>
      </c>
      <c r="L124" s="75">
        <f t="shared" si="15"/>
        <v>177.5555109380806</v>
      </c>
      <c r="M124" s="102">
        <f t="shared" si="19"/>
        <v>8.9000856829167052</v>
      </c>
      <c r="N124" s="102">
        <f t="shared" si="16"/>
        <v>278.12767759114706</v>
      </c>
    </row>
    <row r="125" spans="1:14">
      <c r="A125" s="101">
        <v>40413</v>
      </c>
      <c r="B125" t="s">
        <v>197</v>
      </c>
      <c r="C125">
        <v>17.359000000000002</v>
      </c>
      <c r="D125">
        <v>335.13799999999998</v>
      </c>
      <c r="E125">
        <v>29.63</v>
      </c>
      <c r="F125">
        <v>5656</v>
      </c>
      <c r="G125">
        <v>17.899999999999999</v>
      </c>
      <c r="I125" s="102">
        <f t="shared" si="17"/>
        <v>113.15617348258644</v>
      </c>
      <c r="J125" s="103">
        <f t="shared" si="14"/>
        <v>23.649640257860565</v>
      </c>
      <c r="K125" s="75">
        <f t="shared" si="18"/>
        <v>236.92850937076469</v>
      </c>
      <c r="L125" s="75">
        <f t="shared" si="15"/>
        <v>177.71148750451138</v>
      </c>
      <c r="M125" s="102">
        <f t="shared" si="19"/>
        <v>8.9079041099451111</v>
      </c>
      <c r="N125" s="102">
        <f t="shared" si="16"/>
        <v>278.37200343578473</v>
      </c>
    </row>
    <row r="126" spans="1:14">
      <c r="A126" s="101">
        <v>40413</v>
      </c>
      <c r="B126" t="s">
        <v>198</v>
      </c>
      <c r="C126">
        <v>17.526</v>
      </c>
      <c r="D126">
        <v>336.31799999999998</v>
      </c>
      <c r="E126">
        <v>29.59</v>
      </c>
      <c r="F126">
        <v>5655</v>
      </c>
      <c r="G126">
        <v>17.899999999999999</v>
      </c>
      <c r="I126" s="102">
        <f t="shared" si="17"/>
        <v>113.55444783385128</v>
      </c>
      <c r="J126" s="103">
        <f t="shared" si="14"/>
        <v>23.73287959727492</v>
      </c>
      <c r="K126" s="75">
        <f t="shared" si="18"/>
        <v>237.76242364571414</v>
      </c>
      <c r="L126" s="75">
        <f t="shared" si="15"/>
        <v>178.33697637727767</v>
      </c>
      <c r="M126" s="102">
        <f t="shared" si="19"/>
        <v>8.9392571472680284</v>
      </c>
      <c r="N126" s="102">
        <f t="shared" si="16"/>
        <v>279.35178585212589</v>
      </c>
    </row>
    <row r="127" spans="1:14">
      <c r="A127" s="101">
        <v>40413</v>
      </c>
      <c r="B127" t="s">
        <v>199</v>
      </c>
      <c r="C127">
        <v>17.693000000000001</v>
      </c>
      <c r="D127">
        <v>335.13799999999998</v>
      </c>
      <c r="E127">
        <v>29.63</v>
      </c>
      <c r="F127">
        <v>5650</v>
      </c>
      <c r="G127">
        <v>17.899999999999999</v>
      </c>
      <c r="I127" s="102">
        <f t="shared" si="17"/>
        <v>113.15617348258644</v>
      </c>
      <c r="J127" s="103">
        <f t="shared" si="14"/>
        <v>23.649640257860565</v>
      </c>
      <c r="K127" s="75">
        <f t="shared" si="18"/>
        <v>236.92850937076469</v>
      </c>
      <c r="L127" s="75">
        <f t="shared" si="15"/>
        <v>177.71148750451138</v>
      </c>
      <c r="M127" s="102">
        <f t="shared" si="19"/>
        <v>8.9079041099451111</v>
      </c>
      <c r="N127" s="102">
        <f t="shared" si="16"/>
        <v>278.37200343578473</v>
      </c>
    </row>
    <row r="128" spans="1:14">
      <c r="A128" s="101">
        <v>40413</v>
      </c>
      <c r="B128" t="s">
        <v>200</v>
      </c>
      <c r="C128">
        <v>17.86</v>
      </c>
      <c r="D128">
        <v>337.50200000000001</v>
      </c>
      <c r="E128">
        <v>29.55</v>
      </c>
      <c r="F128">
        <v>5646</v>
      </c>
      <c r="G128">
        <v>17.899999999999999</v>
      </c>
      <c r="I128" s="102">
        <f t="shared" si="17"/>
        <v>113.95434098532961</v>
      </c>
      <c r="J128" s="103">
        <f t="shared" si="14"/>
        <v>23.816457265933888</v>
      </c>
      <c r="K128" s="75">
        <f t="shared" si="18"/>
        <v>238.59972739478374</v>
      </c>
      <c r="L128" s="75">
        <f t="shared" si="15"/>
        <v>178.96500757173141</v>
      </c>
      <c r="M128" s="102">
        <f t="shared" si="19"/>
        <v>8.9707376201221312</v>
      </c>
      <c r="N128" s="102">
        <f t="shared" si="16"/>
        <v>280.33555062881658</v>
      </c>
    </row>
    <row r="129" spans="1:14">
      <c r="A129" s="101">
        <v>40413</v>
      </c>
      <c r="B129" t="s">
        <v>201</v>
      </c>
      <c r="C129">
        <v>18.027000000000001</v>
      </c>
      <c r="D129">
        <v>336.90899999999999</v>
      </c>
      <c r="E129">
        <v>29.57</v>
      </c>
      <c r="F129">
        <v>5647</v>
      </c>
      <c r="G129">
        <v>17.899999999999999</v>
      </c>
      <c r="I129" s="102">
        <f t="shared" si="17"/>
        <v>113.75419151952934</v>
      </c>
      <c r="J129" s="103">
        <f t="shared" si="14"/>
        <v>23.774626027581629</v>
      </c>
      <c r="K129" s="75">
        <f t="shared" si="18"/>
        <v>238.18065070524975</v>
      </c>
      <c r="L129" s="75">
        <f t="shared" si="15"/>
        <v>178.65067333617088</v>
      </c>
      <c r="M129" s="102">
        <f t="shared" si="19"/>
        <v>8.9549814117409774</v>
      </c>
      <c r="N129" s="102">
        <f t="shared" si="16"/>
        <v>279.84316911690553</v>
      </c>
    </row>
    <row r="130" spans="1:14">
      <c r="A130" s="101">
        <v>40413</v>
      </c>
      <c r="B130" t="s">
        <v>202</v>
      </c>
      <c r="C130">
        <v>18.193999999999999</v>
      </c>
      <c r="D130">
        <v>335.43200000000002</v>
      </c>
      <c r="E130">
        <v>29.62</v>
      </c>
      <c r="F130">
        <v>5646</v>
      </c>
      <c r="G130">
        <v>17.899999999999999</v>
      </c>
      <c r="I130" s="102">
        <f t="shared" si="17"/>
        <v>113.25559077951483</v>
      </c>
      <c r="J130" s="103">
        <f t="shared" si="14"/>
        <v>23.670418472918598</v>
      </c>
      <c r="K130" s="75">
        <f t="shared" si="18"/>
        <v>237.13667116381555</v>
      </c>
      <c r="L130" s="75">
        <f t="shared" si="15"/>
        <v>177.86762212074191</v>
      </c>
      <c r="M130" s="102">
        <f t="shared" si="19"/>
        <v>8.915730459322722</v>
      </c>
      <c r="N130" s="102">
        <f t="shared" si="16"/>
        <v>278.61657685383506</v>
      </c>
    </row>
    <row r="131" spans="1:14">
      <c r="A131" s="101">
        <v>40413</v>
      </c>
      <c r="B131" t="s">
        <v>203</v>
      </c>
      <c r="C131">
        <v>18.361000000000001</v>
      </c>
      <c r="D131">
        <v>339.58600000000001</v>
      </c>
      <c r="E131">
        <v>29.48</v>
      </c>
      <c r="F131">
        <v>5636</v>
      </c>
      <c r="G131">
        <v>17.899999999999999</v>
      </c>
      <c r="I131" s="102">
        <f t="shared" si="17"/>
        <v>114.65807531686924</v>
      </c>
      <c r="J131" s="103">
        <f t="shared" si="14"/>
        <v>23.963537741225668</v>
      </c>
      <c r="K131" s="75">
        <f t="shared" si="18"/>
        <v>240.07321948127932</v>
      </c>
      <c r="L131" s="75">
        <f t="shared" si="15"/>
        <v>180.07022057970875</v>
      </c>
      <c r="M131" s="102">
        <f t="shared" si="19"/>
        <v>9.0261371423160828</v>
      </c>
      <c r="N131" s="102">
        <f t="shared" si="16"/>
        <v>282.06678569737761</v>
      </c>
    </row>
    <row r="132" spans="1:14">
      <c r="A132" s="101">
        <v>40413</v>
      </c>
      <c r="B132" t="s">
        <v>204</v>
      </c>
      <c r="C132">
        <v>18.527000000000001</v>
      </c>
      <c r="D132">
        <v>336.02199999999999</v>
      </c>
      <c r="E132">
        <v>29.6</v>
      </c>
      <c r="F132">
        <v>5637</v>
      </c>
      <c r="G132">
        <v>17.899999999999999</v>
      </c>
      <c r="I132" s="102">
        <f t="shared" si="17"/>
        <v>113.4547278206515</v>
      </c>
      <c r="J132" s="103">
        <f t="shared" si="14"/>
        <v>23.712038114516162</v>
      </c>
      <c r="K132" s="75">
        <f t="shared" si="18"/>
        <v>237.55362801968059</v>
      </c>
      <c r="L132" s="75">
        <f t="shared" si="15"/>
        <v>178.18036634589984</v>
      </c>
      <c r="M132" s="102">
        <f t="shared" si="19"/>
        <v>8.9314069673963772</v>
      </c>
      <c r="N132" s="102">
        <f t="shared" si="16"/>
        <v>279.10646773113677</v>
      </c>
    </row>
    <row r="133" spans="1:14">
      <c r="A133" s="101">
        <v>40413</v>
      </c>
      <c r="B133" t="s">
        <v>205</v>
      </c>
      <c r="C133">
        <v>18.693999999999999</v>
      </c>
      <c r="D133">
        <v>333.08499999999998</v>
      </c>
      <c r="E133">
        <v>29.7</v>
      </c>
      <c r="F133">
        <v>5644</v>
      </c>
      <c r="G133">
        <v>17.899999999999999</v>
      </c>
      <c r="I133" s="102">
        <f t="shared" si="17"/>
        <v>112.46306274478631</v>
      </c>
      <c r="J133" s="103">
        <f t="shared" si="14"/>
        <v>23.504780113660335</v>
      </c>
      <c r="K133" s="75">
        <f t="shared" si="18"/>
        <v>235.47726116324972</v>
      </c>
      <c r="L133" s="75">
        <f t="shared" si="15"/>
        <v>176.62295882393732</v>
      </c>
      <c r="M133" s="102">
        <f t="shared" si="19"/>
        <v>8.8533409005339454</v>
      </c>
      <c r="N133" s="102">
        <f t="shared" si="16"/>
        <v>276.66690314168579</v>
      </c>
    </row>
    <row r="134" spans="1:14">
      <c r="A134" s="101">
        <v>40413</v>
      </c>
      <c r="B134" t="s">
        <v>206</v>
      </c>
      <c r="C134">
        <v>18.861000000000001</v>
      </c>
      <c r="D134">
        <v>339.88499999999999</v>
      </c>
      <c r="E134">
        <v>29.47</v>
      </c>
      <c r="F134">
        <v>5645</v>
      </c>
      <c r="G134">
        <v>17.899999999999999</v>
      </c>
      <c r="I134" s="102">
        <f t="shared" si="17"/>
        <v>114.75901838309906</v>
      </c>
      <c r="J134" s="103">
        <f t="shared" si="14"/>
        <v>23.984634842067702</v>
      </c>
      <c r="K134" s="75">
        <f t="shared" si="18"/>
        <v>240.28457595858922</v>
      </c>
      <c r="L134" s="75">
        <f t="shared" si="15"/>
        <v>180.22875141281199</v>
      </c>
      <c r="M134" s="102">
        <f t="shared" si="19"/>
        <v>9.0340836036258363</v>
      </c>
      <c r="N134" s="102">
        <f t="shared" si="16"/>
        <v>282.31511261330741</v>
      </c>
    </row>
    <row r="135" spans="1:14">
      <c r="A135" s="101">
        <v>40413</v>
      </c>
      <c r="B135" t="s">
        <v>207</v>
      </c>
      <c r="C135">
        <v>19.027999999999999</v>
      </c>
      <c r="D135">
        <v>338.69099999999997</v>
      </c>
      <c r="E135">
        <v>29.51</v>
      </c>
      <c r="F135">
        <v>5628</v>
      </c>
      <c r="G135">
        <v>17.899999999999999</v>
      </c>
      <c r="I135" s="102">
        <f t="shared" si="17"/>
        <v>114.35586159734181</v>
      </c>
      <c r="J135" s="103">
        <f t="shared" si="14"/>
        <v>23.90037507384444</v>
      </c>
      <c r="K135" s="75">
        <f t="shared" si="18"/>
        <v>239.44043875111399</v>
      </c>
      <c r="L135" s="75">
        <f t="shared" si="15"/>
        <v>179.59559468888403</v>
      </c>
      <c r="M135" s="102">
        <f t="shared" si="19"/>
        <v>9.0023462102669853</v>
      </c>
      <c r="N135" s="102">
        <f t="shared" si="16"/>
        <v>281.3233190708433</v>
      </c>
    </row>
    <row r="136" spans="1:14">
      <c r="A136" s="101">
        <v>40413</v>
      </c>
      <c r="B136" t="s">
        <v>208</v>
      </c>
      <c r="C136">
        <v>19.195</v>
      </c>
      <c r="D136">
        <v>339.88499999999999</v>
      </c>
      <c r="E136">
        <v>29.47</v>
      </c>
      <c r="F136">
        <v>5621</v>
      </c>
      <c r="G136">
        <v>17.899999999999999</v>
      </c>
      <c r="I136" s="102">
        <f t="shared" si="17"/>
        <v>114.75901838309906</v>
      </c>
      <c r="J136" s="103">
        <f t="shared" si="14"/>
        <v>23.984634842067702</v>
      </c>
      <c r="K136" s="75">
        <f t="shared" si="18"/>
        <v>240.28457595858922</v>
      </c>
      <c r="L136" s="75">
        <f t="shared" si="15"/>
        <v>180.22875141281199</v>
      </c>
      <c r="M136" s="102">
        <f t="shared" si="19"/>
        <v>9.0340836036258363</v>
      </c>
      <c r="N136" s="102">
        <f t="shared" si="16"/>
        <v>282.31511261330741</v>
      </c>
    </row>
    <row r="137" spans="1:14">
      <c r="A137" s="101">
        <v>40413</v>
      </c>
      <c r="B137" t="s">
        <v>209</v>
      </c>
      <c r="C137">
        <v>19.361999999999998</v>
      </c>
      <c r="D137">
        <v>339.88499999999999</v>
      </c>
      <c r="E137">
        <v>29.47</v>
      </c>
      <c r="F137">
        <v>5623</v>
      </c>
      <c r="G137">
        <v>17.899999999999999</v>
      </c>
      <c r="I137" s="102">
        <f t="shared" si="17"/>
        <v>114.75901838309906</v>
      </c>
      <c r="J137" s="103">
        <f t="shared" si="14"/>
        <v>23.984634842067702</v>
      </c>
      <c r="K137" s="75">
        <f t="shared" si="18"/>
        <v>240.28457595858922</v>
      </c>
      <c r="L137" s="75">
        <f t="shared" si="15"/>
        <v>180.22875141281199</v>
      </c>
      <c r="M137" s="102">
        <f t="shared" si="19"/>
        <v>9.0340836036258363</v>
      </c>
      <c r="N137" s="102">
        <f t="shared" si="16"/>
        <v>282.31511261330741</v>
      </c>
    </row>
    <row r="138" spans="1:14">
      <c r="A138" s="101">
        <v>40413</v>
      </c>
      <c r="B138" t="s">
        <v>210</v>
      </c>
      <c r="C138">
        <v>19.529</v>
      </c>
      <c r="D138">
        <v>342.59</v>
      </c>
      <c r="E138">
        <v>29.38</v>
      </c>
      <c r="F138">
        <v>5616</v>
      </c>
      <c r="G138">
        <v>17.899999999999999</v>
      </c>
      <c r="I138" s="102">
        <f t="shared" si="17"/>
        <v>115.67214890550336</v>
      </c>
      <c r="J138" s="103">
        <f t="shared" si="14"/>
        <v>24.175479121250202</v>
      </c>
      <c r="K138" s="75">
        <f t="shared" si="18"/>
        <v>242.1965057002528</v>
      </c>
      <c r="L138" s="75">
        <f t="shared" si="15"/>
        <v>181.66282061494186</v>
      </c>
      <c r="M138" s="102">
        <f t="shared" si="19"/>
        <v>9.105967256838035</v>
      </c>
      <c r="N138" s="102">
        <f t="shared" si="16"/>
        <v>284.56147677618861</v>
      </c>
    </row>
    <row r="139" spans="1:14">
      <c r="A139" s="101">
        <v>40413</v>
      </c>
      <c r="B139" t="s">
        <v>211</v>
      </c>
      <c r="C139">
        <v>19.696000000000002</v>
      </c>
      <c r="D139">
        <v>340.95699999999999</v>
      </c>
      <c r="E139">
        <v>29.39</v>
      </c>
      <c r="F139">
        <v>5628</v>
      </c>
      <c r="G139">
        <v>18</v>
      </c>
      <c r="I139" s="102">
        <f t="shared" si="17"/>
        <v>115.35680786651237</v>
      </c>
      <c r="J139" s="103">
        <f t="shared" si="14"/>
        <v>24.109572844101084</v>
      </c>
      <c r="K139" s="75">
        <f t="shared" si="18"/>
        <v>241.50489149276783</v>
      </c>
      <c r="L139" s="75">
        <f t="shared" si="15"/>
        <v>181.14406586517441</v>
      </c>
      <c r="M139" s="102">
        <f t="shared" si="19"/>
        <v>9.0640327154300149</v>
      </c>
      <c r="N139" s="102">
        <f t="shared" si="16"/>
        <v>283.25102235718799</v>
      </c>
    </row>
    <row r="140" spans="1:14">
      <c r="A140" s="101">
        <v>40413</v>
      </c>
      <c r="B140" t="s">
        <v>212</v>
      </c>
      <c r="C140">
        <v>19.863</v>
      </c>
      <c r="D140">
        <v>336.19</v>
      </c>
      <c r="E140">
        <v>29.55</v>
      </c>
      <c r="F140">
        <v>5612</v>
      </c>
      <c r="G140">
        <v>18</v>
      </c>
      <c r="I140" s="102">
        <f t="shared" si="17"/>
        <v>113.7437679917396</v>
      </c>
      <c r="J140" s="103">
        <f t="shared" si="14"/>
        <v>23.772447510273572</v>
      </c>
      <c r="K140" s="75">
        <f t="shared" si="18"/>
        <v>238.12791680756945</v>
      </c>
      <c r="L140" s="75">
        <f t="shared" si="15"/>
        <v>178.61111955083891</v>
      </c>
      <c r="M140" s="102">
        <f t="shared" si="19"/>
        <v>8.9372899035696864</v>
      </c>
      <c r="N140" s="102">
        <f t="shared" si="16"/>
        <v>279.2903094865527</v>
      </c>
    </row>
    <row r="141" spans="1:14">
      <c r="A141" s="101">
        <v>40413</v>
      </c>
      <c r="B141" t="s">
        <v>213</v>
      </c>
      <c r="C141">
        <v>20.03</v>
      </c>
      <c r="D141">
        <v>338.26600000000002</v>
      </c>
      <c r="E141">
        <v>29.48</v>
      </c>
      <c r="F141">
        <v>5616</v>
      </c>
      <c r="G141">
        <v>18</v>
      </c>
      <c r="I141" s="102">
        <f t="shared" si="17"/>
        <v>114.44624164694177</v>
      </c>
      <c r="J141" s="103">
        <f t="shared" si="14"/>
        <v>23.91926450421083</v>
      </c>
      <c r="K141" s="75">
        <f t="shared" si="18"/>
        <v>239.59857837504663</v>
      </c>
      <c r="L141" s="75">
        <f t="shared" si="15"/>
        <v>179.71420948909153</v>
      </c>
      <c r="M141" s="102">
        <f t="shared" si="19"/>
        <v>8.9924859887443738</v>
      </c>
      <c r="N141" s="102">
        <f t="shared" si="16"/>
        <v>281.0151871482617</v>
      </c>
    </row>
    <row r="142" spans="1:14">
      <c r="A142" s="101">
        <v>40413</v>
      </c>
      <c r="B142" t="s">
        <v>214</v>
      </c>
      <c r="C142">
        <v>20.196999999999999</v>
      </c>
      <c r="D142">
        <v>341.55900000000003</v>
      </c>
      <c r="E142">
        <v>29.37</v>
      </c>
      <c r="F142">
        <v>5601</v>
      </c>
      <c r="G142">
        <v>18</v>
      </c>
      <c r="I142" s="102">
        <f t="shared" si="17"/>
        <v>115.56029338638346</v>
      </c>
      <c r="J142" s="103">
        <f t="shared" si="14"/>
        <v>24.152101317754141</v>
      </c>
      <c r="K142" s="75">
        <f t="shared" si="18"/>
        <v>241.93089797912691</v>
      </c>
      <c r="L142" s="75">
        <f t="shared" si="15"/>
        <v>181.46359789016583</v>
      </c>
      <c r="M142" s="102">
        <f t="shared" si="19"/>
        <v>9.0800213635500473</v>
      </c>
      <c r="N142" s="102">
        <f t="shared" si="16"/>
        <v>283.75066761093899</v>
      </c>
    </row>
    <row r="143" spans="1:14">
      <c r="A143" s="101">
        <v>40413</v>
      </c>
      <c r="B143" t="s">
        <v>215</v>
      </c>
      <c r="C143">
        <v>20.347000000000001</v>
      </c>
      <c r="D143">
        <v>343.97699999999998</v>
      </c>
      <c r="E143">
        <v>29.29</v>
      </c>
      <c r="F143">
        <v>5614</v>
      </c>
      <c r="G143">
        <v>18</v>
      </c>
      <c r="I143" s="102">
        <f t="shared" si="17"/>
        <v>116.37840693970345</v>
      </c>
      <c r="J143" s="103">
        <f t="shared" si="14"/>
        <v>24.323087050398023</v>
      </c>
      <c r="K143" s="75">
        <f t="shared" si="18"/>
        <v>243.64365710082473</v>
      </c>
      <c r="L143" s="75">
        <f t="shared" si="15"/>
        <v>182.74827642911501</v>
      </c>
      <c r="M143" s="102">
        <f t="shared" si="19"/>
        <v>9.144303724941409</v>
      </c>
      <c r="N143" s="102">
        <f t="shared" si="16"/>
        <v>285.75949140441901</v>
      </c>
    </row>
    <row r="144" spans="1:14">
      <c r="A144" s="101">
        <v>40413</v>
      </c>
      <c r="B144" t="s">
        <v>216</v>
      </c>
      <c r="C144">
        <v>20.513999999999999</v>
      </c>
      <c r="D144">
        <v>339.75799999999998</v>
      </c>
      <c r="E144">
        <v>29.43</v>
      </c>
      <c r="F144">
        <v>5608</v>
      </c>
      <c r="G144">
        <v>18</v>
      </c>
      <c r="I144" s="102">
        <f t="shared" si="17"/>
        <v>114.95108046965585</v>
      </c>
      <c r="J144" s="103">
        <f t="shared" si="14"/>
        <v>24.024775818158073</v>
      </c>
      <c r="K144" s="75">
        <f t="shared" si="18"/>
        <v>240.65548214480057</v>
      </c>
      <c r="L144" s="75">
        <f t="shared" si="15"/>
        <v>180.50695469974991</v>
      </c>
      <c r="M144" s="102">
        <f t="shared" si="19"/>
        <v>9.0321531370447552</v>
      </c>
      <c r="N144" s="102">
        <f t="shared" si="16"/>
        <v>282.25478553264861</v>
      </c>
    </row>
    <row r="145" spans="1:14">
      <c r="A145" s="101">
        <v>40413</v>
      </c>
      <c r="B145" t="s">
        <v>217</v>
      </c>
      <c r="C145">
        <v>20.681000000000001</v>
      </c>
      <c r="D145">
        <v>339.16</v>
      </c>
      <c r="E145">
        <v>29.45</v>
      </c>
      <c r="F145">
        <v>5602</v>
      </c>
      <c r="G145">
        <v>18</v>
      </c>
      <c r="I145" s="102">
        <f t="shared" si="17"/>
        <v>114.74883637786675</v>
      </c>
      <c r="J145" s="103">
        <f t="shared" si="14"/>
        <v>23.98250680297415</v>
      </c>
      <c r="K145" s="75">
        <f t="shared" si="18"/>
        <v>240.232074646397</v>
      </c>
      <c r="L145" s="75">
        <f t="shared" si="15"/>
        <v>180.18937208142466</v>
      </c>
      <c r="M145" s="102">
        <f t="shared" si="19"/>
        <v>9.0162620327537972</v>
      </c>
      <c r="N145" s="102">
        <f t="shared" si="16"/>
        <v>281.75818852355616</v>
      </c>
    </row>
    <row r="146" spans="1:14">
      <c r="A146" s="101">
        <v>40413</v>
      </c>
      <c r="B146" t="s">
        <v>218</v>
      </c>
      <c r="C146">
        <v>20.847000000000001</v>
      </c>
      <c r="D146">
        <v>340.65699999999998</v>
      </c>
      <c r="E146">
        <v>29.4</v>
      </c>
      <c r="F146">
        <v>5599</v>
      </c>
      <c r="G146">
        <v>18</v>
      </c>
      <c r="I146" s="102">
        <f t="shared" si="17"/>
        <v>115.2552207699712</v>
      </c>
      <c r="J146" s="103">
        <f t="shared" si="14"/>
        <v>24.08834114092398</v>
      </c>
      <c r="K146" s="75">
        <f t="shared" si="18"/>
        <v>241.29221413821037</v>
      </c>
      <c r="L146" s="75">
        <f t="shared" si="15"/>
        <v>180.98454428992241</v>
      </c>
      <c r="M146" s="102">
        <f t="shared" si="19"/>
        <v>9.056050622447863</v>
      </c>
      <c r="N146" s="102">
        <f t="shared" si="16"/>
        <v>283.00158195149572</v>
      </c>
    </row>
    <row r="147" spans="1:14">
      <c r="A147" s="101">
        <v>40413</v>
      </c>
      <c r="B147" t="s">
        <v>219</v>
      </c>
      <c r="C147">
        <v>21.013999999999999</v>
      </c>
      <c r="D147">
        <v>340.65699999999998</v>
      </c>
      <c r="E147">
        <v>29.4</v>
      </c>
      <c r="F147">
        <v>5598</v>
      </c>
      <c r="G147">
        <v>18</v>
      </c>
      <c r="I147" s="102">
        <f t="shared" si="17"/>
        <v>115.2552207699712</v>
      </c>
      <c r="J147" s="103">
        <f t="shared" si="14"/>
        <v>24.08834114092398</v>
      </c>
      <c r="K147" s="75">
        <f t="shared" si="18"/>
        <v>241.29221413821037</v>
      </c>
      <c r="L147" s="75">
        <f t="shared" si="15"/>
        <v>180.98454428992241</v>
      </c>
      <c r="M147" s="102">
        <f t="shared" si="19"/>
        <v>9.056050622447863</v>
      </c>
      <c r="N147" s="102">
        <f t="shared" si="16"/>
        <v>283.00158195149572</v>
      </c>
    </row>
    <row r="148" spans="1:14">
      <c r="A148" s="101">
        <v>40413</v>
      </c>
      <c r="B148" t="s">
        <v>220</v>
      </c>
      <c r="C148">
        <v>21.181000000000001</v>
      </c>
      <c r="D148">
        <v>340.05700000000002</v>
      </c>
      <c r="E148">
        <v>29.42</v>
      </c>
      <c r="F148">
        <v>5586</v>
      </c>
      <c r="G148">
        <v>18</v>
      </c>
      <c r="I148" s="102">
        <f t="shared" si="17"/>
        <v>115.05235720996785</v>
      </c>
      <c r="J148" s="103">
        <f t="shared" si="14"/>
        <v>24.04594265688328</v>
      </c>
      <c r="K148" s="75">
        <f t="shared" si="18"/>
        <v>240.8675097540258</v>
      </c>
      <c r="L148" s="75">
        <f t="shared" si="15"/>
        <v>180.66598892457793</v>
      </c>
      <c r="M148" s="102">
        <f t="shared" si="19"/>
        <v>9.0401108441318172</v>
      </c>
      <c r="N148" s="102">
        <f t="shared" si="16"/>
        <v>282.50346387911929</v>
      </c>
    </row>
    <row r="149" spans="1:14">
      <c r="A149" s="101">
        <v>40413</v>
      </c>
      <c r="B149" t="s">
        <v>221</v>
      </c>
      <c r="C149">
        <v>21.347999999999999</v>
      </c>
      <c r="D149">
        <v>341.25799999999998</v>
      </c>
      <c r="E149">
        <v>29.38</v>
      </c>
      <c r="F149">
        <v>5588</v>
      </c>
      <c r="G149">
        <v>18</v>
      </c>
      <c r="I149" s="102">
        <f t="shared" si="17"/>
        <v>115.45849869233193</v>
      </c>
      <c r="J149" s="103">
        <f>I149*20.9/100</f>
        <v>24.130826226697373</v>
      </c>
      <c r="K149" s="75">
        <f t="shared" si="18"/>
        <v>241.71778600943804</v>
      </c>
      <c r="L149" s="75">
        <f>K149/1.33322</f>
        <v>181.30375032585621</v>
      </c>
      <c r="M149" s="102">
        <f t="shared" si="19"/>
        <v>9.0720229588247001</v>
      </c>
      <c r="N149" s="102">
        <f>M149*31.25</f>
        <v>283.50071746327188</v>
      </c>
    </row>
    <row r="150" spans="1:14">
      <c r="A150" s="101">
        <v>40413</v>
      </c>
      <c r="B150" t="s">
        <v>222</v>
      </c>
      <c r="C150">
        <v>21.515000000000001</v>
      </c>
      <c r="D150">
        <v>342.76499999999999</v>
      </c>
      <c r="E150">
        <v>29.33</v>
      </c>
      <c r="F150">
        <v>5596</v>
      </c>
      <c r="G150">
        <v>18</v>
      </c>
      <c r="I150" s="102">
        <f t="shared" si="17"/>
        <v>115.96851363140817</v>
      </c>
      <c r="J150" s="103">
        <f>I150*20.9/100</f>
        <v>24.237419348964309</v>
      </c>
      <c r="K150" s="75">
        <f t="shared" si="18"/>
        <v>242.7855262217351</v>
      </c>
      <c r="L150" s="75">
        <f>K150/1.33322</f>
        <v>182.10462355930386</v>
      </c>
      <c r="M150" s="102">
        <f t="shared" si="19"/>
        <v>9.1120968147040582</v>
      </c>
      <c r="N150" s="102">
        <f>M150*31.25</f>
        <v>284.75302545950183</v>
      </c>
    </row>
    <row r="151" spans="1:14">
      <c r="A151" s="101"/>
      <c r="I151" s="102"/>
      <c r="J151" s="103"/>
      <c r="K151" s="75"/>
      <c r="L151" s="75"/>
      <c r="M151" s="102"/>
      <c r="N151" s="102"/>
    </row>
    <row r="152" spans="1:14">
      <c r="A152" s="101"/>
      <c r="I152" s="102"/>
      <c r="J152" s="103"/>
      <c r="K152" s="75"/>
      <c r="L152" s="75"/>
      <c r="M152" s="102"/>
      <c r="N152" s="102"/>
    </row>
    <row r="153" spans="1:14">
      <c r="A153" s="101"/>
      <c r="I153" s="102"/>
      <c r="J153" s="103"/>
      <c r="K153" s="75"/>
      <c r="L153" s="75"/>
      <c r="M153" s="102"/>
      <c r="N153" s="102"/>
    </row>
    <row r="154" spans="1:14">
      <c r="A154" s="101"/>
      <c r="I154" s="102"/>
      <c r="J154" s="103"/>
      <c r="K154" s="75"/>
      <c r="L154" s="75"/>
      <c r="M154" s="102"/>
      <c r="N154" s="102"/>
    </row>
    <row r="155" spans="1:14">
      <c r="A155" s="101"/>
      <c r="I155" s="102"/>
      <c r="J155" s="103"/>
      <c r="K155" s="75"/>
      <c r="L155" s="75"/>
      <c r="M155" s="102"/>
      <c r="N155" s="102"/>
    </row>
    <row r="156" spans="1:14">
      <c r="A156" s="101"/>
      <c r="I156" s="102"/>
      <c r="J156" s="103"/>
      <c r="K156" s="75"/>
      <c r="L156" s="75"/>
      <c r="M156" s="102"/>
      <c r="N156" s="102"/>
    </row>
    <row r="157" spans="1:14">
      <c r="A157" s="101"/>
      <c r="I157" s="102"/>
      <c r="J157" s="103"/>
      <c r="K157" s="75"/>
      <c r="L157" s="75"/>
      <c r="M157" s="102"/>
      <c r="N157" s="102"/>
    </row>
    <row r="158" spans="1:14">
      <c r="A158" s="101"/>
      <c r="I158" s="102"/>
      <c r="J158" s="103"/>
      <c r="K158" s="75"/>
      <c r="L158" s="75"/>
      <c r="M158" s="102"/>
      <c r="N158" s="102"/>
    </row>
    <row r="159" spans="1:14">
      <c r="A159" s="101"/>
      <c r="I159" s="102"/>
      <c r="J159" s="103"/>
      <c r="K159" s="75"/>
      <c r="L159" s="75"/>
      <c r="M159" s="102"/>
      <c r="N159" s="102"/>
    </row>
    <row r="160" spans="1:14">
      <c r="A160" s="101"/>
      <c r="I160" s="102"/>
      <c r="J160" s="103"/>
      <c r="K160" s="75"/>
      <c r="L160" s="75"/>
      <c r="M160" s="102"/>
      <c r="N160" s="102"/>
    </row>
    <row r="161" spans="1:14">
      <c r="A161" s="101"/>
      <c r="I161" s="102"/>
      <c r="J161" s="103"/>
      <c r="K161" s="75"/>
      <c r="L161" s="75"/>
      <c r="M161" s="102"/>
      <c r="N161" s="102"/>
    </row>
    <row r="162" spans="1:14">
      <c r="A162" s="101"/>
      <c r="I162" s="102"/>
      <c r="J162" s="103"/>
      <c r="K162" s="75"/>
      <c r="L162" s="75"/>
      <c r="M162" s="102"/>
      <c r="N162" s="102"/>
    </row>
    <row r="163" spans="1:14">
      <c r="A163" s="101"/>
      <c r="I163" s="102"/>
      <c r="J163" s="103"/>
      <c r="K163" s="75"/>
      <c r="L163" s="75"/>
      <c r="M163" s="102"/>
      <c r="N163" s="102"/>
    </row>
    <row r="164" spans="1:14">
      <c r="A164" s="101"/>
      <c r="I164" s="102"/>
      <c r="J164" s="103"/>
      <c r="K164" s="75"/>
      <c r="L164" s="75"/>
      <c r="M164" s="102"/>
      <c r="N164" s="102"/>
    </row>
    <row r="165" spans="1:14">
      <c r="A165" s="101"/>
      <c r="I165" s="102"/>
      <c r="J165" s="103"/>
      <c r="K165" s="75"/>
      <c r="L165" s="75"/>
      <c r="M165" s="102"/>
      <c r="N165" s="102"/>
    </row>
    <row r="166" spans="1:14">
      <c r="A166" s="101"/>
      <c r="I166" s="102"/>
      <c r="J166" s="103"/>
      <c r="K166" s="75"/>
      <c r="L166" s="75"/>
      <c r="M166" s="102"/>
      <c r="N166" s="102"/>
    </row>
    <row r="167" spans="1:14">
      <c r="A167" s="101"/>
      <c r="I167" s="102"/>
      <c r="J167" s="103"/>
      <c r="K167" s="75"/>
      <c r="L167" s="75"/>
      <c r="M167" s="102"/>
      <c r="N167" s="102"/>
    </row>
    <row r="168" spans="1:14">
      <c r="A168" s="101"/>
      <c r="I168" s="102"/>
      <c r="J168" s="103"/>
      <c r="K168" s="75"/>
      <c r="L168" s="75"/>
      <c r="M168" s="102"/>
      <c r="N168" s="102"/>
    </row>
    <row r="169" spans="1:14">
      <c r="A169" s="101"/>
      <c r="I169" s="102"/>
      <c r="J169" s="103"/>
      <c r="K169" s="75"/>
      <c r="L169" s="75"/>
      <c r="M169" s="102"/>
      <c r="N169" s="102"/>
    </row>
    <row r="170" spans="1:14">
      <c r="A170" s="101"/>
      <c r="I170" s="102"/>
      <c r="J170" s="103"/>
      <c r="K170" s="75"/>
      <c r="L170" s="75"/>
      <c r="M170" s="102"/>
      <c r="N170" s="102"/>
    </row>
    <row r="171" spans="1:14">
      <c r="A171" s="101"/>
      <c r="I171" s="102"/>
      <c r="J171" s="103"/>
      <c r="K171" s="75"/>
      <c r="L171" s="75"/>
      <c r="M171" s="102"/>
      <c r="N171" s="102"/>
    </row>
    <row r="172" spans="1:14">
      <c r="A172" s="101"/>
      <c r="I172" s="102"/>
      <c r="J172" s="103"/>
      <c r="K172" s="75"/>
      <c r="L172" s="75"/>
      <c r="M172" s="102"/>
      <c r="N172" s="102"/>
    </row>
    <row r="173" spans="1:14">
      <c r="A173" s="101"/>
      <c r="I173" s="102"/>
      <c r="J173" s="103"/>
      <c r="K173" s="75"/>
      <c r="L173" s="75"/>
      <c r="M173" s="102"/>
      <c r="N173" s="102"/>
    </row>
    <row r="174" spans="1:14">
      <c r="A174" s="101"/>
      <c r="I174" s="102"/>
      <c r="J174" s="103"/>
      <c r="K174" s="75"/>
      <c r="L174" s="75"/>
      <c r="M174" s="102"/>
      <c r="N174" s="102"/>
    </row>
    <row r="175" spans="1:14">
      <c r="A175" s="101"/>
      <c r="I175" s="102"/>
      <c r="J175" s="103"/>
      <c r="K175" s="75"/>
      <c r="L175" s="75"/>
      <c r="M175" s="102"/>
      <c r="N175" s="102"/>
    </row>
    <row r="176" spans="1:14">
      <c r="A176" s="101"/>
      <c r="I176" s="102"/>
      <c r="J176" s="103"/>
      <c r="K176" s="75"/>
      <c r="L176" s="75"/>
      <c r="M176" s="102"/>
      <c r="N176" s="102"/>
    </row>
    <row r="177" spans="1:14">
      <c r="A177" s="101"/>
      <c r="I177" s="102"/>
      <c r="J177" s="103"/>
      <c r="K177" s="75"/>
      <c r="L177" s="75"/>
      <c r="M177" s="102"/>
      <c r="N177" s="102"/>
    </row>
    <row r="178" spans="1:14">
      <c r="A178" s="101"/>
      <c r="I178" s="102"/>
      <c r="J178" s="103"/>
      <c r="K178" s="75"/>
      <c r="L178" s="75"/>
      <c r="M178" s="102"/>
      <c r="N178" s="102"/>
    </row>
    <row r="179" spans="1:14">
      <c r="A179" s="101"/>
      <c r="I179" s="102"/>
      <c r="J179" s="103"/>
      <c r="K179" s="75"/>
      <c r="L179" s="75"/>
      <c r="M179" s="102"/>
      <c r="N179" s="102"/>
    </row>
    <row r="180" spans="1:14">
      <c r="A180" s="101"/>
      <c r="I180" s="102"/>
      <c r="J180" s="103"/>
      <c r="K180" s="75"/>
      <c r="L180" s="75"/>
      <c r="M180" s="102"/>
      <c r="N180" s="102"/>
    </row>
    <row r="181" spans="1:14">
      <c r="A181" s="101"/>
      <c r="I181" s="102"/>
      <c r="J181" s="103"/>
      <c r="K181" s="75"/>
      <c r="L181" s="75"/>
      <c r="M181" s="102"/>
      <c r="N181" s="102"/>
    </row>
    <row r="182" spans="1:14">
      <c r="A182" s="101"/>
      <c r="I182" s="102"/>
      <c r="J182" s="103"/>
      <c r="K182" s="75"/>
      <c r="L182" s="75"/>
      <c r="M182" s="102"/>
      <c r="N182" s="102"/>
    </row>
    <row r="183" spans="1:14">
      <c r="A183" s="101"/>
      <c r="I183" s="102"/>
      <c r="J183" s="103"/>
      <c r="K183" s="75"/>
      <c r="L183" s="75"/>
      <c r="M183" s="102"/>
      <c r="N183" s="102"/>
    </row>
    <row r="184" spans="1:14">
      <c r="A184" s="101"/>
      <c r="I184" s="102"/>
      <c r="J184" s="103"/>
      <c r="K184" s="75"/>
      <c r="L184" s="75"/>
      <c r="M184" s="102"/>
      <c r="N184" s="102"/>
    </row>
    <row r="185" spans="1:14">
      <c r="A185" s="101"/>
      <c r="I185" s="102"/>
      <c r="J185" s="103"/>
      <c r="K185" s="75"/>
      <c r="L185" s="75"/>
      <c r="M185" s="102"/>
      <c r="N185" s="102"/>
    </row>
    <row r="186" spans="1:14">
      <c r="A186" s="101"/>
      <c r="I186" s="102"/>
      <c r="J186" s="103"/>
      <c r="K186" s="75"/>
      <c r="L186" s="75"/>
      <c r="M186" s="102"/>
      <c r="N186" s="102"/>
    </row>
    <row r="187" spans="1:14">
      <c r="A187" s="101"/>
      <c r="I187" s="102"/>
      <c r="J187" s="103"/>
      <c r="K187" s="75"/>
      <c r="L187" s="75"/>
      <c r="M187" s="102"/>
      <c r="N187" s="102"/>
    </row>
    <row r="188" spans="1:14">
      <c r="A188" s="101"/>
      <c r="I188" s="102"/>
      <c r="J188" s="103"/>
      <c r="K188" s="75"/>
      <c r="L188" s="75"/>
      <c r="M188" s="102"/>
      <c r="N188" s="102"/>
    </row>
    <row r="189" spans="1:14">
      <c r="A189" s="101"/>
      <c r="I189" s="102"/>
      <c r="J189" s="103"/>
      <c r="K189" s="75"/>
      <c r="L189" s="75"/>
      <c r="M189" s="102"/>
      <c r="N189" s="102"/>
    </row>
    <row r="190" spans="1:14">
      <c r="A190" s="101"/>
      <c r="I190" s="102"/>
      <c r="J190" s="103"/>
      <c r="K190" s="75"/>
      <c r="L190" s="75"/>
      <c r="M190" s="102"/>
      <c r="N190" s="102"/>
    </row>
    <row r="191" spans="1:14">
      <c r="A191" s="101"/>
      <c r="I191" s="102"/>
      <c r="J191" s="103"/>
      <c r="K191" s="75"/>
      <c r="L191" s="75"/>
      <c r="M191" s="102"/>
      <c r="N191" s="102"/>
    </row>
    <row r="192" spans="1:14">
      <c r="A192" s="101"/>
      <c r="I192" s="102"/>
      <c r="J192" s="103"/>
      <c r="K192" s="75"/>
      <c r="L192" s="75"/>
      <c r="M192" s="102"/>
      <c r="N192" s="102"/>
    </row>
    <row r="193" spans="1:14">
      <c r="A193" s="101"/>
      <c r="I193" s="102"/>
      <c r="J193" s="103"/>
      <c r="K193" s="75"/>
      <c r="L193" s="75"/>
      <c r="M193" s="102"/>
      <c r="N193" s="102"/>
    </row>
    <row r="194" spans="1:14">
      <c r="A194" s="101"/>
      <c r="I194" s="102"/>
      <c r="J194" s="103"/>
      <c r="K194" s="75"/>
      <c r="L194" s="75"/>
      <c r="M194" s="102"/>
      <c r="N194" s="102"/>
    </row>
    <row r="195" spans="1:14">
      <c r="A195" s="101"/>
      <c r="I195" s="102"/>
      <c r="J195" s="103"/>
      <c r="K195" s="75"/>
      <c r="L195" s="75"/>
      <c r="M195" s="102"/>
      <c r="N195" s="102"/>
    </row>
    <row r="196" spans="1:14">
      <c r="A196" s="101"/>
      <c r="I196" s="102"/>
      <c r="J196" s="103"/>
      <c r="K196" s="75"/>
      <c r="L196" s="75"/>
      <c r="M196" s="102"/>
      <c r="N196" s="102"/>
    </row>
    <row r="197" spans="1:14">
      <c r="A197" s="101"/>
      <c r="I197" s="102"/>
      <c r="J197" s="103"/>
      <c r="K197" s="75"/>
      <c r="L197" s="75"/>
      <c r="M197" s="102"/>
      <c r="N197" s="102"/>
    </row>
    <row r="198" spans="1:14">
      <c r="A198" s="101"/>
      <c r="I198" s="102"/>
      <c r="J198" s="103"/>
      <c r="K198" s="75"/>
      <c r="L198" s="75"/>
      <c r="M198" s="102"/>
      <c r="N198" s="102"/>
    </row>
    <row r="199" spans="1:14">
      <c r="A199" s="101"/>
      <c r="I199" s="102"/>
      <c r="J199" s="103"/>
      <c r="K199" s="75"/>
      <c r="L199" s="75"/>
      <c r="M199" s="102"/>
      <c r="N199" s="102"/>
    </row>
    <row r="200" spans="1:14">
      <c r="A200" s="101"/>
      <c r="I200" s="102"/>
      <c r="J200" s="103"/>
      <c r="K200" s="75"/>
      <c r="L200" s="75"/>
      <c r="M200" s="102"/>
      <c r="N200" s="102"/>
    </row>
    <row r="201" spans="1:14">
      <c r="A201" s="101"/>
      <c r="I201" s="102"/>
      <c r="J201" s="103"/>
      <c r="K201" s="75"/>
      <c r="L201" s="75"/>
      <c r="M201" s="102"/>
      <c r="N201" s="102"/>
    </row>
    <row r="202" spans="1:14">
      <c r="A202" s="101"/>
      <c r="I202" s="102"/>
      <c r="J202" s="103"/>
      <c r="K202" s="75"/>
      <c r="L202" s="75"/>
      <c r="M202" s="102"/>
      <c r="N202" s="102"/>
    </row>
    <row r="203" spans="1:14">
      <c r="A203" s="101"/>
      <c r="I203" s="102"/>
      <c r="J203" s="103"/>
      <c r="K203" s="75"/>
      <c r="L203" s="75"/>
      <c r="M203" s="102"/>
      <c r="N203" s="102"/>
    </row>
    <row r="204" spans="1:14">
      <c r="A204" s="101"/>
      <c r="I204" s="102"/>
      <c r="J204" s="103"/>
      <c r="K204" s="75"/>
      <c r="L204" s="75"/>
      <c r="M204" s="102"/>
      <c r="N204" s="102"/>
    </row>
    <row r="205" spans="1:14">
      <c r="A205" s="101"/>
      <c r="I205" s="102"/>
      <c r="J205" s="103"/>
      <c r="K205" s="75"/>
      <c r="L205" s="75"/>
      <c r="M205" s="102"/>
      <c r="N205" s="102"/>
    </row>
    <row r="206" spans="1:14">
      <c r="A206" s="101"/>
      <c r="I206" s="102"/>
      <c r="J206" s="103"/>
      <c r="K206" s="75"/>
      <c r="L206" s="75"/>
      <c r="M206" s="102"/>
      <c r="N206" s="102"/>
    </row>
    <row r="207" spans="1:14">
      <c r="A207" s="101"/>
      <c r="I207" s="102"/>
      <c r="J207" s="103"/>
      <c r="K207" s="75"/>
      <c r="L207" s="75"/>
      <c r="M207" s="102"/>
      <c r="N207" s="102"/>
    </row>
    <row r="208" spans="1:14">
      <c r="A208" s="101"/>
      <c r="I208" s="102"/>
      <c r="J208" s="103"/>
      <c r="K208" s="75"/>
      <c r="L208" s="75"/>
      <c r="M208" s="102"/>
      <c r="N208" s="102"/>
    </row>
    <row r="209" spans="1:14">
      <c r="A209" s="101"/>
      <c r="I209" s="102"/>
      <c r="J209" s="103"/>
      <c r="K209" s="75"/>
      <c r="L209" s="75"/>
      <c r="M209" s="102"/>
      <c r="N209" s="102"/>
    </row>
    <row r="210" spans="1:14">
      <c r="A210" s="101"/>
      <c r="I210" s="102"/>
      <c r="J210" s="103"/>
      <c r="K210" s="75"/>
      <c r="L210" s="75"/>
      <c r="M210" s="102"/>
      <c r="N210" s="102"/>
    </row>
    <row r="211" spans="1:14">
      <c r="A211" s="101"/>
      <c r="I211" s="102"/>
      <c r="J211" s="103"/>
      <c r="K211" s="75"/>
      <c r="L211" s="75"/>
      <c r="M211" s="102"/>
      <c r="N211" s="102"/>
    </row>
    <row r="212" spans="1:14">
      <c r="A212" s="101"/>
      <c r="I212" s="102"/>
      <c r="J212" s="103"/>
      <c r="K212" s="75"/>
      <c r="L212" s="75"/>
      <c r="M212" s="102"/>
      <c r="N212" s="102"/>
    </row>
    <row r="213" spans="1:14">
      <c r="A213" s="101"/>
      <c r="I213" s="102"/>
      <c r="J213" s="103"/>
      <c r="K213" s="75"/>
      <c r="L213" s="75"/>
      <c r="M213" s="102"/>
      <c r="N213" s="102"/>
    </row>
    <row r="214" spans="1:14">
      <c r="A214" s="101"/>
      <c r="I214" s="102"/>
      <c r="J214" s="103"/>
      <c r="K214" s="75"/>
      <c r="L214" s="75"/>
      <c r="M214" s="102"/>
      <c r="N214" s="102"/>
    </row>
    <row r="215" spans="1:14">
      <c r="A215" s="101"/>
      <c r="I215" s="102"/>
      <c r="J215" s="103"/>
      <c r="K215" s="75"/>
      <c r="L215" s="75"/>
      <c r="M215" s="102"/>
      <c r="N215" s="102"/>
    </row>
    <row r="216" spans="1:14">
      <c r="A216" s="101"/>
      <c r="I216" s="102"/>
      <c r="J216" s="103"/>
      <c r="K216" s="75"/>
      <c r="L216" s="75"/>
      <c r="M216" s="102"/>
      <c r="N216" s="102"/>
    </row>
    <row r="217" spans="1:14">
      <c r="A217" s="101"/>
      <c r="I217" s="102"/>
      <c r="J217" s="103"/>
      <c r="K217" s="75"/>
      <c r="L217" s="75"/>
      <c r="M217" s="102"/>
      <c r="N217" s="102"/>
    </row>
    <row r="218" spans="1:14">
      <c r="A218" s="101"/>
      <c r="I218" s="102"/>
      <c r="J218" s="103"/>
      <c r="K218" s="75"/>
      <c r="L218" s="75"/>
      <c r="M218" s="102"/>
      <c r="N218" s="102"/>
    </row>
    <row r="219" spans="1:14">
      <c r="A219" s="101"/>
      <c r="I219" s="102"/>
      <c r="J219" s="103"/>
      <c r="K219" s="75"/>
      <c r="L219" s="75"/>
      <c r="M219" s="102"/>
      <c r="N219" s="102"/>
    </row>
    <row r="220" spans="1:14">
      <c r="A220" s="101"/>
      <c r="I220" s="102"/>
      <c r="J220" s="103"/>
      <c r="K220" s="75"/>
      <c r="L220" s="75"/>
      <c r="M220" s="102"/>
      <c r="N220" s="102"/>
    </row>
    <row r="221" spans="1:14">
      <c r="A221" s="101"/>
      <c r="I221" s="102"/>
      <c r="J221" s="103"/>
      <c r="K221" s="75"/>
      <c r="L221" s="75"/>
      <c r="M221" s="102"/>
      <c r="N221" s="102"/>
    </row>
    <row r="222" spans="1:14">
      <c r="A222" s="101"/>
      <c r="I222" s="102"/>
      <c r="J222" s="103"/>
      <c r="K222" s="75"/>
      <c r="L222" s="75"/>
      <c r="M222" s="102"/>
      <c r="N222" s="102"/>
    </row>
    <row r="223" spans="1:14">
      <c r="A223" s="101"/>
      <c r="I223" s="102"/>
      <c r="J223" s="103"/>
      <c r="K223" s="75"/>
      <c r="L223" s="75"/>
      <c r="M223" s="102"/>
      <c r="N223" s="102"/>
    </row>
    <row r="224" spans="1:14">
      <c r="A224" s="101"/>
      <c r="I224" s="102"/>
      <c r="J224" s="103"/>
      <c r="K224" s="75"/>
      <c r="L224" s="75"/>
      <c r="M224" s="102"/>
      <c r="N224" s="102"/>
    </row>
    <row r="225" spans="1:14">
      <c r="A225" s="101"/>
      <c r="I225" s="102"/>
      <c r="J225" s="103"/>
      <c r="K225" s="75"/>
      <c r="L225" s="75"/>
      <c r="M225" s="102"/>
      <c r="N225" s="102"/>
    </row>
    <row r="226" spans="1:14">
      <c r="A226" s="101"/>
      <c r="I226" s="102"/>
      <c r="J226" s="103"/>
      <c r="K226" s="75"/>
      <c r="L226" s="75"/>
      <c r="M226" s="102"/>
      <c r="N226" s="102"/>
    </row>
    <row r="227" spans="1:14">
      <c r="A227" s="101"/>
      <c r="I227" s="102"/>
      <c r="J227" s="103"/>
      <c r="K227" s="75"/>
      <c r="L227" s="75"/>
      <c r="M227" s="102"/>
      <c r="N227" s="102"/>
    </row>
    <row r="228" spans="1:14">
      <c r="A228" s="101"/>
      <c r="I228" s="102"/>
      <c r="J228" s="103"/>
      <c r="K228" s="75"/>
      <c r="L228" s="75"/>
      <c r="M228" s="102"/>
      <c r="N228" s="102"/>
    </row>
    <row r="229" spans="1:14">
      <c r="A229" s="101"/>
      <c r="I229" s="102"/>
      <c r="J229" s="103"/>
      <c r="K229" s="75"/>
      <c r="L229" s="75"/>
      <c r="M229" s="102"/>
      <c r="N229" s="102"/>
    </row>
    <row r="230" spans="1:14">
      <c r="A230" s="101"/>
      <c r="I230" s="102"/>
      <c r="J230" s="103"/>
      <c r="K230" s="75"/>
      <c r="L230" s="75"/>
      <c r="M230" s="102"/>
      <c r="N230" s="102"/>
    </row>
    <row r="231" spans="1:14">
      <c r="A231" s="101"/>
      <c r="I231" s="102"/>
      <c r="J231" s="103"/>
      <c r="K231" s="75"/>
      <c r="L231" s="75"/>
      <c r="M231" s="102"/>
      <c r="N231" s="102"/>
    </row>
    <row r="232" spans="1:14">
      <c r="A232" s="101"/>
      <c r="I232" s="102"/>
      <c r="J232" s="103"/>
      <c r="K232" s="75"/>
      <c r="L232" s="75"/>
      <c r="M232" s="102"/>
      <c r="N232" s="102"/>
    </row>
    <row r="233" spans="1:14">
      <c r="A233" s="101"/>
      <c r="I233" s="102"/>
      <c r="J233" s="103"/>
      <c r="K233" s="75"/>
      <c r="L233" s="75"/>
      <c r="M233" s="102"/>
      <c r="N233" s="102"/>
    </row>
    <row r="234" spans="1:14">
      <c r="A234" s="101"/>
      <c r="I234" s="102"/>
      <c r="J234" s="103"/>
      <c r="K234" s="75"/>
      <c r="L234" s="75"/>
      <c r="M234" s="102"/>
      <c r="N234" s="102"/>
    </row>
    <row r="235" spans="1:14">
      <c r="A235" s="101"/>
      <c r="I235" s="102"/>
      <c r="J235" s="103"/>
      <c r="K235" s="75"/>
      <c r="L235" s="75"/>
      <c r="M235" s="102"/>
      <c r="N235" s="102"/>
    </row>
    <row r="236" spans="1:14">
      <c r="A236" s="101"/>
      <c r="I236" s="102"/>
      <c r="J236" s="103"/>
      <c r="K236" s="75"/>
      <c r="L236" s="75"/>
      <c r="M236" s="102"/>
      <c r="N236" s="102"/>
    </row>
    <row r="237" spans="1:14">
      <c r="A237" s="101"/>
      <c r="I237" s="102"/>
      <c r="J237" s="103"/>
      <c r="K237" s="75"/>
      <c r="L237" s="75"/>
      <c r="M237" s="102"/>
      <c r="N237" s="102"/>
    </row>
    <row r="238" spans="1:14">
      <c r="A238" s="101"/>
      <c r="I238" s="102"/>
      <c r="J238" s="103"/>
      <c r="K238" s="75"/>
      <c r="L238" s="75"/>
      <c r="M238" s="102"/>
      <c r="N238" s="102"/>
    </row>
    <row r="239" spans="1:14">
      <c r="A239" s="101"/>
      <c r="I239" s="102"/>
      <c r="J239" s="103"/>
      <c r="K239" s="75"/>
      <c r="L239" s="75"/>
      <c r="M239" s="102"/>
      <c r="N239" s="102"/>
    </row>
    <row r="240" spans="1:14">
      <c r="A240" s="101"/>
      <c r="I240" s="102"/>
      <c r="J240" s="103"/>
      <c r="K240" s="75"/>
      <c r="L240" s="75"/>
      <c r="M240" s="102"/>
      <c r="N240" s="102"/>
    </row>
    <row r="241" spans="1:14">
      <c r="A241" s="101"/>
      <c r="I241" s="102"/>
      <c r="J241" s="103"/>
      <c r="K241" s="75"/>
      <c r="L241" s="75"/>
      <c r="M241" s="102"/>
      <c r="N241" s="102"/>
    </row>
    <row r="242" spans="1:14">
      <c r="A242" s="101"/>
      <c r="I242" s="102"/>
      <c r="J242" s="103"/>
      <c r="K242" s="75"/>
      <c r="L242" s="75"/>
      <c r="M242" s="102"/>
      <c r="N242" s="102"/>
    </row>
    <row r="243" spans="1:14">
      <c r="A243" s="101"/>
      <c r="I243" s="102"/>
      <c r="J243" s="103"/>
      <c r="K243" s="75"/>
      <c r="L243" s="75"/>
      <c r="M243" s="102"/>
      <c r="N243" s="102"/>
    </row>
    <row r="244" spans="1:14">
      <c r="A244" s="101"/>
      <c r="I244" s="102"/>
      <c r="J244" s="103"/>
      <c r="K244" s="75"/>
      <c r="L244" s="75"/>
      <c r="M244" s="102"/>
      <c r="N244" s="102"/>
    </row>
    <row r="245" spans="1:14">
      <c r="A245" s="101"/>
      <c r="I245" s="102"/>
      <c r="J245" s="103"/>
      <c r="K245" s="75"/>
      <c r="L245" s="75"/>
      <c r="M245" s="102"/>
      <c r="N245" s="102"/>
    </row>
    <row r="246" spans="1:14">
      <c r="A246" s="101"/>
      <c r="I246" s="102"/>
      <c r="J246" s="103"/>
      <c r="K246" s="75"/>
      <c r="L246" s="75"/>
      <c r="M246" s="102"/>
      <c r="N246" s="102"/>
    </row>
    <row r="247" spans="1:14">
      <c r="A247" s="101"/>
      <c r="I247" s="102"/>
      <c r="J247" s="103"/>
      <c r="K247" s="75"/>
      <c r="L247" s="75"/>
      <c r="M247" s="102"/>
      <c r="N247" s="102"/>
    </row>
    <row r="248" spans="1:14">
      <c r="A248" s="101"/>
      <c r="I248" s="102"/>
      <c r="J248" s="103"/>
      <c r="K248" s="75"/>
      <c r="L248" s="75"/>
      <c r="M248" s="102"/>
      <c r="N248" s="102"/>
    </row>
    <row r="249" spans="1:14">
      <c r="A249" s="101"/>
      <c r="I249" s="102"/>
      <c r="J249" s="103"/>
      <c r="K249" s="75"/>
      <c r="L249" s="75"/>
      <c r="M249" s="102"/>
      <c r="N249" s="102"/>
    </row>
    <row r="250" spans="1:14">
      <c r="A250" s="101"/>
      <c r="I250" s="102"/>
      <c r="J250" s="103"/>
      <c r="K250" s="75"/>
      <c r="L250" s="75"/>
      <c r="M250" s="102"/>
      <c r="N250" s="102"/>
    </row>
    <row r="251" spans="1:14">
      <c r="A251" s="101"/>
      <c r="I251" s="102"/>
      <c r="J251" s="103"/>
      <c r="K251" s="75"/>
      <c r="L251" s="75"/>
      <c r="M251" s="102"/>
      <c r="N251" s="102"/>
    </row>
    <row r="252" spans="1:14">
      <c r="A252" s="101"/>
      <c r="I252" s="102"/>
      <c r="J252" s="103"/>
      <c r="K252" s="75"/>
      <c r="L252" s="75"/>
      <c r="M252" s="102"/>
      <c r="N252" s="102"/>
    </row>
    <row r="253" spans="1:14">
      <c r="A253" s="101"/>
      <c r="I253" s="102"/>
      <c r="J253" s="103"/>
      <c r="K253" s="75"/>
      <c r="L253" s="75"/>
      <c r="M253" s="102"/>
      <c r="N253" s="102"/>
    </row>
    <row r="254" spans="1:14">
      <c r="A254" s="101"/>
      <c r="I254" s="102"/>
      <c r="J254" s="103"/>
      <c r="K254" s="75"/>
      <c r="L254" s="75"/>
      <c r="M254" s="102"/>
      <c r="N254" s="102"/>
    </row>
    <row r="255" spans="1:14">
      <c r="A255" s="101"/>
      <c r="I255" s="102"/>
      <c r="J255" s="103"/>
      <c r="K255" s="75"/>
      <c r="L255" s="75"/>
      <c r="M255" s="102"/>
      <c r="N255" s="102"/>
    </row>
    <row r="256" spans="1:14">
      <c r="A256" s="101"/>
      <c r="I256" s="102"/>
      <c r="J256" s="103"/>
      <c r="K256" s="75"/>
      <c r="L256" s="75"/>
      <c r="M256" s="102"/>
      <c r="N256" s="102"/>
    </row>
    <row r="257" spans="1:14">
      <c r="A257" s="101"/>
      <c r="I257" s="102"/>
      <c r="J257" s="103"/>
      <c r="K257" s="75"/>
      <c r="L257" s="75"/>
      <c r="M257" s="102"/>
      <c r="N257" s="102"/>
    </row>
    <row r="258" spans="1:14">
      <c r="A258" s="101"/>
      <c r="I258" s="102"/>
      <c r="J258" s="103"/>
      <c r="K258" s="75"/>
      <c r="L258" s="75"/>
      <c r="M258" s="102"/>
      <c r="N258" s="102"/>
    </row>
    <row r="259" spans="1:14">
      <c r="A259" s="101"/>
      <c r="I259" s="102"/>
      <c r="J259" s="103"/>
      <c r="K259" s="75"/>
      <c r="L259" s="75"/>
      <c r="M259" s="102"/>
      <c r="N259" s="102"/>
    </row>
    <row r="260" spans="1:14">
      <c r="A260" s="101"/>
      <c r="I260" s="102"/>
      <c r="J260" s="103"/>
      <c r="K260" s="75"/>
      <c r="L260" s="75"/>
      <c r="M260" s="102"/>
      <c r="N260" s="102"/>
    </row>
    <row r="261" spans="1:14">
      <c r="A261" s="101"/>
      <c r="I261" s="102"/>
      <c r="J261" s="103"/>
      <c r="K261" s="75"/>
      <c r="L261" s="75"/>
      <c r="M261" s="102"/>
      <c r="N261" s="102"/>
    </row>
    <row r="262" spans="1:14">
      <c r="A262" s="101"/>
      <c r="I262" s="102"/>
      <c r="J262" s="103"/>
      <c r="K262" s="75"/>
      <c r="L262" s="75"/>
      <c r="M262" s="102"/>
      <c r="N262" s="102"/>
    </row>
    <row r="263" spans="1:14">
      <c r="A263" s="101"/>
      <c r="I263" s="102"/>
      <c r="J263" s="103"/>
      <c r="K263" s="75"/>
      <c r="L263" s="75"/>
      <c r="M263" s="102"/>
      <c r="N263" s="102"/>
    </row>
    <row r="264" spans="1:14">
      <c r="A264" s="101"/>
      <c r="I264" s="102"/>
      <c r="J264" s="103"/>
      <c r="K264" s="75"/>
      <c r="L264" s="75"/>
      <c r="M264" s="102"/>
      <c r="N264" s="102"/>
    </row>
    <row r="265" spans="1:14">
      <c r="A265" s="101"/>
      <c r="I265" s="102"/>
      <c r="J265" s="103"/>
      <c r="K265" s="75"/>
      <c r="L265" s="75"/>
      <c r="M265" s="102"/>
      <c r="N265" s="102"/>
    </row>
    <row r="266" spans="1:14">
      <c r="A266" s="101"/>
      <c r="I266" s="102"/>
      <c r="J266" s="103"/>
      <c r="K266" s="75"/>
      <c r="L266" s="75"/>
      <c r="M266" s="102"/>
      <c r="N266" s="102"/>
    </row>
    <row r="267" spans="1:14">
      <c r="A267" s="101"/>
      <c r="I267" s="102"/>
      <c r="J267" s="103"/>
      <c r="K267" s="75"/>
      <c r="L267" s="75"/>
      <c r="M267" s="102"/>
      <c r="N267" s="102"/>
    </row>
    <row r="268" spans="1:14">
      <c r="A268" s="101"/>
      <c r="I268" s="102"/>
      <c r="J268" s="103"/>
      <c r="K268" s="75"/>
      <c r="L268" s="75"/>
      <c r="M268" s="102"/>
      <c r="N268" s="102"/>
    </row>
    <row r="269" spans="1:14">
      <c r="A269" s="101"/>
      <c r="I269" s="102"/>
      <c r="J269" s="103"/>
      <c r="K269" s="75"/>
      <c r="L269" s="75"/>
      <c r="M269" s="102"/>
      <c r="N269" s="102"/>
    </row>
    <row r="270" spans="1:14">
      <c r="A270" s="101"/>
      <c r="I270" s="102"/>
      <c r="J270" s="103"/>
      <c r="K270" s="75"/>
      <c r="L270" s="75"/>
      <c r="M270" s="102"/>
      <c r="N270" s="102"/>
    </row>
    <row r="271" spans="1:14">
      <c r="A271" s="101"/>
      <c r="I271" s="102"/>
      <c r="J271" s="103"/>
      <c r="K271" s="75"/>
      <c r="L271" s="75"/>
      <c r="M271" s="102"/>
      <c r="N271" s="102"/>
    </row>
    <row r="272" spans="1:14">
      <c r="A272" s="101"/>
      <c r="I272" s="102"/>
      <c r="J272" s="103"/>
      <c r="K272" s="75"/>
      <c r="L272" s="75"/>
      <c r="M272" s="102"/>
      <c r="N272" s="102"/>
    </row>
    <row r="273" spans="1:14">
      <c r="A273" s="101"/>
      <c r="I273" s="102"/>
      <c r="J273" s="103"/>
      <c r="K273" s="75"/>
      <c r="L273" s="75"/>
      <c r="M273" s="102"/>
      <c r="N273" s="102"/>
    </row>
    <row r="274" spans="1:14">
      <c r="A274" s="101"/>
      <c r="I274" s="102"/>
      <c r="J274" s="103"/>
      <c r="K274" s="75"/>
      <c r="L274" s="75"/>
      <c r="M274" s="102"/>
      <c r="N274" s="102"/>
    </row>
    <row r="275" spans="1:14">
      <c r="A275" s="101"/>
      <c r="I275" s="102"/>
      <c r="J275" s="103"/>
      <c r="K275" s="75"/>
      <c r="L275" s="75"/>
      <c r="M275" s="102"/>
      <c r="N275" s="102"/>
    </row>
    <row r="276" spans="1:14">
      <c r="A276" s="101"/>
      <c r="I276" s="102"/>
      <c r="J276" s="103"/>
      <c r="K276" s="75"/>
      <c r="L276" s="75"/>
      <c r="M276" s="102"/>
      <c r="N276" s="102"/>
    </row>
    <row r="277" spans="1:14">
      <c r="A277" s="101"/>
      <c r="I277" s="102"/>
      <c r="J277" s="103"/>
      <c r="K277" s="75"/>
      <c r="L277" s="75"/>
      <c r="M277" s="102"/>
      <c r="N277" s="102"/>
    </row>
    <row r="278" spans="1:14">
      <c r="A278" s="101"/>
      <c r="I278" s="102"/>
      <c r="J278" s="103"/>
      <c r="K278" s="75"/>
      <c r="L278" s="75"/>
      <c r="M278" s="102"/>
      <c r="N278" s="102"/>
    </row>
    <row r="279" spans="1:14">
      <c r="A279" s="101"/>
      <c r="I279" s="102"/>
      <c r="J279" s="103"/>
      <c r="K279" s="75"/>
      <c r="L279" s="75"/>
      <c r="M279" s="102"/>
      <c r="N279" s="102"/>
    </row>
    <row r="280" spans="1:14">
      <c r="A280" s="101"/>
      <c r="I280" s="102"/>
      <c r="J280" s="103"/>
      <c r="K280" s="75"/>
      <c r="L280" s="75"/>
      <c r="M280" s="102"/>
      <c r="N280" s="102"/>
    </row>
    <row r="281" spans="1:14">
      <c r="A281" s="101"/>
      <c r="I281" s="102"/>
      <c r="J281" s="103"/>
      <c r="K281" s="75"/>
      <c r="L281" s="75"/>
      <c r="M281" s="102"/>
      <c r="N281" s="102"/>
    </row>
    <row r="282" spans="1:14">
      <c r="A282" s="101"/>
      <c r="I282" s="102"/>
      <c r="J282" s="103"/>
      <c r="K282" s="75"/>
      <c r="L282" s="75"/>
      <c r="M282" s="102"/>
      <c r="N282" s="102"/>
    </row>
    <row r="283" spans="1:14">
      <c r="A283" s="101"/>
      <c r="I283" s="102"/>
      <c r="J283" s="103"/>
      <c r="K283" s="75"/>
      <c r="L283" s="75"/>
      <c r="M283" s="102"/>
      <c r="N283" s="102"/>
    </row>
    <row r="284" spans="1:14">
      <c r="A284" s="101"/>
      <c r="I284" s="102"/>
      <c r="J284" s="103"/>
      <c r="K284" s="75"/>
      <c r="L284" s="75"/>
      <c r="M284" s="102"/>
      <c r="N284" s="102"/>
    </row>
    <row r="285" spans="1:14">
      <c r="A285" s="101"/>
      <c r="I285" s="102"/>
      <c r="J285" s="103"/>
      <c r="K285" s="75"/>
      <c r="L285" s="75"/>
      <c r="M285" s="102"/>
      <c r="N285" s="102"/>
    </row>
    <row r="286" spans="1:14">
      <c r="A286" s="101"/>
      <c r="I286" s="102"/>
      <c r="J286" s="103"/>
      <c r="K286" s="75"/>
      <c r="L286" s="75"/>
      <c r="M286" s="102"/>
      <c r="N286" s="102"/>
    </row>
    <row r="287" spans="1:14">
      <c r="A287" s="101"/>
      <c r="I287" s="102"/>
      <c r="J287" s="103"/>
      <c r="K287" s="75"/>
      <c r="L287" s="75"/>
      <c r="M287" s="102"/>
      <c r="N287" s="102"/>
    </row>
    <row r="288" spans="1:14">
      <c r="A288" s="101"/>
      <c r="I288" s="102"/>
      <c r="J288" s="103"/>
      <c r="K288" s="75"/>
      <c r="L288" s="75"/>
      <c r="M288" s="102"/>
      <c r="N288" s="102"/>
    </row>
    <row r="289" spans="1:14">
      <c r="A289" s="101"/>
      <c r="I289" s="102"/>
      <c r="J289" s="103"/>
      <c r="K289" s="75"/>
      <c r="L289" s="75"/>
      <c r="M289" s="102"/>
      <c r="N289" s="102"/>
    </row>
    <row r="290" spans="1:14">
      <c r="A290" s="101"/>
      <c r="I290" s="102"/>
      <c r="J290" s="103"/>
      <c r="K290" s="75"/>
      <c r="L290" s="75"/>
      <c r="M290" s="102"/>
      <c r="N290" s="102"/>
    </row>
    <row r="291" spans="1:14">
      <c r="A291" s="101"/>
      <c r="I291" s="102"/>
      <c r="J291" s="103"/>
      <c r="K291" s="75"/>
      <c r="L291" s="75"/>
      <c r="M291" s="102"/>
      <c r="N291" s="102"/>
    </row>
    <row r="292" spans="1:14">
      <c r="A292" s="101"/>
      <c r="I292" s="102"/>
      <c r="J292" s="103"/>
      <c r="K292" s="75"/>
      <c r="L292" s="75"/>
      <c r="M292" s="102"/>
      <c r="N292" s="102"/>
    </row>
    <row r="293" spans="1:14">
      <c r="A293" s="101"/>
      <c r="I293" s="102"/>
      <c r="J293" s="103"/>
      <c r="K293" s="75"/>
      <c r="L293" s="75"/>
      <c r="M293" s="102"/>
      <c r="N293" s="102"/>
    </row>
    <row r="294" spans="1:14">
      <c r="A294" s="101"/>
      <c r="I294" s="102"/>
      <c r="J294" s="103"/>
      <c r="K294" s="75"/>
      <c r="L294" s="75"/>
      <c r="M294" s="102"/>
      <c r="N294" s="102"/>
    </row>
    <row r="295" spans="1:14">
      <c r="A295" s="101"/>
      <c r="I295" s="102"/>
      <c r="J295" s="103"/>
      <c r="K295" s="75"/>
      <c r="L295" s="75"/>
      <c r="M295" s="102"/>
      <c r="N295" s="102"/>
    </row>
  </sheetData>
  <mergeCells count="4">
    <mergeCell ref="A3:J3"/>
    <mergeCell ref="A4:J4"/>
    <mergeCell ref="P14:Q14"/>
    <mergeCell ref="P23:S23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0" verticalDpi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" x14ac:dyDescent="0"/>
  <sheetData/>
  <phoneticPr fontId="0" type="noConversion"/>
  <pageMargins left="0.78740157499999996" right="0.78740157499999996" top="0.984251969" bottom="0.984251969" header="0.4921259845" footer="0.492125984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convers.+compens.</vt:lpstr>
      <vt:lpstr>Recalculate Fibox values</vt:lpstr>
      <vt:lpstr>Tabelle3</vt:lpstr>
    </vt:vector>
  </TitlesOfParts>
  <Company>PreSens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Huber</dc:creator>
  <cp:lastModifiedBy>Rainer Sieger</cp:lastModifiedBy>
  <dcterms:created xsi:type="dcterms:W3CDTF">2005-07-08T08:28:11Z</dcterms:created>
  <dcterms:modified xsi:type="dcterms:W3CDTF">2013-11-10T21:12:23Z</dcterms:modified>
</cp:coreProperties>
</file>