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830" yWindow="315" windowWidth="12915" windowHeight="8475"/>
  </bookViews>
  <sheets>
    <sheet name="growth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T2" i="1" l="1"/>
  <c r="U2" i="1"/>
  <c r="V2" i="1"/>
  <c r="U3" i="1"/>
  <c r="U14" i="1" s="1"/>
  <c r="V3" i="1"/>
  <c r="U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8" i="1"/>
  <c r="V18" i="1"/>
  <c r="U19" i="1"/>
  <c r="V19" i="1"/>
  <c r="U20" i="1"/>
  <c r="V20" i="1"/>
  <c r="U21" i="1"/>
  <c r="V21" i="1"/>
  <c r="U22" i="1"/>
  <c r="V22" i="1"/>
  <c r="U25" i="1"/>
  <c r="V25" i="1"/>
  <c r="U26" i="1"/>
  <c r="V26" i="1"/>
  <c r="U28" i="1"/>
  <c r="V28" i="1"/>
  <c r="U30" i="1"/>
  <c r="U34" i="1"/>
  <c r="V34" i="1"/>
  <c r="U35" i="1"/>
  <c r="U46" i="1" s="1"/>
  <c r="V35" i="1"/>
  <c r="U37" i="1"/>
  <c r="V37" i="1"/>
  <c r="U39" i="1"/>
  <c r="V39" i="1"/>
  <c r="U41" i="1"/>
  <c r="V41" i="1"/>
  <c r="U42" i="1"/>
  <c r="V42" i="1"/>
  <c r="U44" i="1"/>
  <c r="V44" i="1"/>
  <c r="U45" i="1"/>
  <c r="V45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W2" i="1"/>
  <c r="T3" i="1"/>
  <c r="T4" i="1"/>
  <c r="T5" i="1"/>
  <c r="T6" i="1"/>
  <c r="T7" i="1"/>
  <c r="T8" i="1"/>
  <c r="T9" i="1"/>
  <c r="T10" i="1"/>
  <c r="T11" i="1"/>
  <c r="T12" i="1"/>
  <c r="T13" i="1"/>
  <c r="T18" i="1"/>
  <c r="T19" i="1"/>
  <c r="T20" i="1"/>
  <c r="T21" i="1"/>
  <c r="T22" i="1"/>
  <c r="T25" i="1"/>
  <c r="T26" i="1"/>
  <c r="T28" i="1"/>
  <c r="T34" i="1"/>
  <c r="T35" i="1"/>
  <c r="T37" i="1"/>
  <c r="T39" i="1"/>
  <c r="T41" i="1"/>
  <c r="T42" i="1"/>
  <c r="T44" i="1"/>
  <c r="T45" i="1"/>
  <c r="T50" i="1"/>
  <c r="T51" i="1"/>
  <c r="T52" i="1"/>
  <c r="T53" i="1"/>
  <c r="T54" i="1"/>
  <c r="T55" i="1"/>
  <c r="T56" i="1"/>
  <c r="T57" i="1"/>
  <c r="T58" i="1"/>
  <c r="T59" i="1"/>
  <c r="T60" i="1"/>
  <c r="T61" i="1"/>
  <c r="Y2" i="1"/>
  <c r="T30" i="1" l="1"/>
  <c r="T14" i="1"/>
  <c r="T62" i="1"/>
  <c r="T46" i="1"/>
  <c r="S7" i="1"/>
  <c r="AJ2" i="1"/>
  <c r="AJ3" i="1"/>
  <c r="AJ4" i="1"/>
  <c r="AJ5" i="1"/>
  <c r="AC44" i="1" l="1"/>
  <c r="Y44" i="1"/>
  <c r="AC34" i="1"/>
  <c r="Y34" i="1"/>
  <c r="AC26" i="1"/>
  <c r="Y26" i="1"/>
  <c r="AC28" i="1"/>
  <c r="Y28" i="1"/>
  <c r="R28" i="1" l="1"/>
  <c r="R26" i="1"/>
  <c r="R25" i="1"/>
  <c r="S28" i="1"/>
  <c r="S26" i="1"/>
  <c r="S25" i="1"/>
  <c r="S44" i="1"/>
  <c r="S42" i="1"/>
  <c r="S41" i="1"/>
  <c r="S39" i="1"/>
  <c r="S37" i="1"/>
  <c r="S34" i="1"/>
  <c r="R44" i="1"/>
  <c r="R42" i="1"/>
  <c r="R41" i="1"/>
  <c r="R39" i="1"/>
  <c r="R37" i="1"/>
  <c r="R34" i="1"/>
  <c r="R19" i="1"/>
  <c r="S19" i="1"/>
  <c r="W19" i="1"/>
  <c r="X19" i="1" s="1"/>
  <c r="AC19" i="1"/>
  <c r="Y19" i="1"/>
  <c r="S2" i="1"/>
  <c r="R2" i="1"/>
  <c r="S61" i="1"/>
  <c r="S60" i="1"/>
  <c r="S59" i="1"/>
  <c r="S58" i="1"/>
  <c r="S57" i="1"/>
  <c r="S56" i="1"/>
  <c r="S55" i="1"/>
  <c r="S54" i="1"/>
  <c r="S53" i="1"/>
  <c r="S52" i="1"/>
  <c r="S51" i="1"/>
  <c r="S50" i="1"/>
  <c r="S45" i="1"/>
  <c r="S35" i="1"/>
  <c r="S22" i="1"/>
  <c r="S21" i="1"/>
  <c r="S20" i="1"/>
  <c r="S18" i="1"/>
  <c r="S3" i="1"/>
  <c r="S4" i="1"/>
  <c r="S5" i="1"/>
  <c r="S6" i="1"/>
  <c r="S8" i="1"/>
  <c r="S9" i="1"/>
  <c r="S10" i="1"/>
  <c r="S11" i="1"/>
  <c r="S12" i="1"/>
  <c r="S13" i="1"/>
  <c r="R61" i="1"/>
  <c r="R60" i="1"/>
  <c r="R59" i="1"/>
  <c r="R58" i="1"/>
  <c r="R57" i="1"/>
  <c r="R56" i="1"/>
  <c r="R55" i="1"/>
  <c r="R54" i="1"/>
  <c r="R53" i="1"/>
  <c r="R52" i="1"/>
  <c r="R51" i="1"/>
  <c r="R50" i="1"/>
  <c r="R45" i="1"/>
  <c r="R35" i="1"/>
  <c r="R22" i="1"/>
  <c r="R21" i="1"/>
  <c r="R20" i="1"/>
  <c r="R18" i="1"/>
  <c r="R3" i="1"/>
  <c r="R4" i="1"/>
  <c r="R5" i="1"/>
  <c r="R6" i="1"/>
  <c r="R7" i="1"/>
  <c r="R8" i="1"/>
  <c r="R9" i="1"/>
  <c r="R10" i="1"/>
  <c r="R11" i="1"/>
  <c r="R13" i="1"/>
  <c r="Y59" i="1" l="1"/>
  <c r="Y51" i="1"/>
  <c r="Y42" i="1"/>
  <c r="Y39" i="1"/>
  <c r="Y35" i="1"/>
  <c r="Y25" i="1"/>
  <c r="Y20" i="1"/>
  <c r="Y21" i="1"/>
  <c r="P61" i="1"/>
  <c r="P60" i="1"/>
  <c r="P59" i="1"/>
  <c r="P58" i="1"/>
  <c r="P57" i="1"/>
  <c r="P56" i="1"/>
  <c r="P55" i="1"/>
  <c r="P54" i="1"/>
  <c r="P53" i="1"/>
  <c r="P52" i="1"/>
  <c r="P51" i="1"/>
  <c r="P50" i="1"/>
  <c r="P45" i="1"/>
  <c r="P44" i="1"/>
  <c r="P42" i="1"/>
  <c r="P41" i="1"/>
  <c r="P39" i="1"/>
  <c r="P37" i="1"/>
  <c r="P35" i="1"/>
  <c r="P34" i="1"/>
  <c r="P22" i="1"/>
  <c r="P28" i="1"/>
  <c r="P26" i="1"/>
  <c r="P25" i="1"/>
  <c r="P21" i="1"/>
  <c r="P20" i="1"/>
  <c r="P19" i="1"/>
  <c r="P18" i="1"/>
  <c r="P3" i="1"/>
  <c r="P4" i="1"/>
  <c r="P5" i="1"/>
  <c r="P6" i="1"/>
  <c r="P7" i="1"/>
  <c r="P8" i="1"/>
  <c r="P9" i="1"/>
  <c r="P10" i="1"/>
  <c r="P11" i="1"/>
  <c r="P12" i="1"/>
  <c r="P13" i="1"/>
  <c r="P2" i="1"/>
  <c r="AE2" i="1"/>
  <c r="AE52" i="1"/>
  <c r="AF52" i="1" s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2" i="1"/>
  <c r="AA3" i="1"/>
  <c r="AA4" i="1"/>
  <c r="AA5" i="1"/>
  <c r="AA6" i="1"/>
  <c r="AA7" i="1"/>
  <c r="AA8" i="1"/>
  <c r="AA9" i="1"/>
  <c r="AA10" i="1"/>
  <c r="AA11" i="1"/>
  <c r="AA12" i="1"/>
  <c r="AA13" i="1"/>
  <c r="AF2" i="1" l="1"/>
  <c r="AE41" i="1"/>
  <c r="AF41" i="1" s="1"/>
  <c r="AE44" i="1"/>
  <c r="AF44" i="1" s="1"/>
  <c r="AE37" i="1"/>
  <c r="AF37" i="1" s="1"/>
  <c r="AE42" i="1"/>
  <c r="AF42" i="1" s="1"/>
  <c r="AE34" i="1"/>
  <c r="AF34" i="1" s="1"/>
  <c r="AE39" i="1"/>
  <c r="AF39" i="1" s="1"/>
  <c r="AE25" i="1"/>
  <c r="AF25" i="1" s="1"/>
  <c r="AE19" i="1"/>
  <c r="AF19" i="1" s="1"/>
  <c r="AE22" i="1"/>
  <c r="AF22" i="1" s="1"/>
  <c r="AE28" i="1"/>
  <c r="AF28" i="1" s="1"/>
  <c r="AE21" i="1"/>
  <c r="AF21" i="1" s="1"/>
  <c r="AE26" i="1"/>
  <c r="AF26" i="1" s="1"/>
  <c r="AE20" i="1"/>
  <c r="AF20" i="1" s="1"/>
  <c r="AE13" i="1"/>
  <c r="AF13" i="1" s="1"/>
  <c r="AE8" i="1"/>
  <c r="AF8" i="1" s="1"/>
  <c r="AE35" i="1"/>
  <c r="AF35" i="1" s="1"/>
  <c r="AE3" i="1"/>
  <c r="AF3" i="1" s="1"/>
  <c r="AE11" i="1"/>
  <c r="AF11" i="1" s="1"/>
  <c r="AE6" i="1"/>
  <c r="AF6" i="1" s="1"/>
  <c r="AA30" i="1"/>
  <c r="AA62" i="1"/>
  <c r="AE5" i="1"/>
  <c r="AF5" i="1" s="1"/>
  <c r="AE59" i="1"/>
  <c r="AF59" i="1" s="1"/>
  <c r="AE55" i="1"/>
  <c r="AF55" i="1" s="1"/>
  <c r="AE51" i="1"/>
  <c r="AF51" i="1" s="1"/>
  <c r="AA14" i="1"/>
  <c r="AA46" i="1"/>
  <c r="AE9" i="1"/>
  <c r="AF9" i="1" s="1"/>
  <c r="AE4" i="1"/>
  <c r="AF4" i="1" s="1"/>
  <c r="AE10" i="1"/>
  <c r="AF10" i="1" s="1"/>
  <c r="AE50" i="1"/>
  <c r="AE58" i="1"/>
  <c r="AF58" i="1" s="1"/>
  <c r="AE54" i="1"/>
  <c r="AF54" i="1" s="1"/>
  <c r="AE18" i="1"/>
  <c r="AE61" i="1"/>
  <c r="AF61" i="1" s="1"/>
  <c r="AE57" i="1"/>
  <c r="AF57" i="1" s="1"/>
  <c r="AE53" i="1"/>
  <c r="AF53" i="1" s="1"/>
  <c r="AE12" i="1"/>
  <c r="AF12" i="1" s="1"/>
  <c r="AE7" i="1"/>
  <c r="AF7" i="1" s="1"/>
  <c r="AE45" i="1"/>
  <c r="AF45" i="1" s="1"/>
  <c r="AE60" i="1"/>
  <c r="AF60" i="1" s="1"/>
  <c r="AE56" i="1"/>
  <c r="AF56" i="1" s="1"/>
  <c r="AF46" i="1" l="1"/>
  <c r="AF50" i="1"/>
  <c r="AE62" i="1"/>
  <c r="AF18" i="1"/>
  <c r="AE30" i="1"/>
  <c r="AE14" i="1"/>
  <c r="AF14" i="1"/>
  <c r="AE46" i="1"/>
  <c r="AF62" i="1" l="1"/>
  <c r="AF30" i="1"/>
  <c r="AC61" i="1" l="1"/>
  <c r="AC60" i="1"/>
  <c r="AC59" i="1"/>
  <c r="AC58" i="1"/>
  <c r="AC57" i="1"/>
  <c r="AC56" i="1"/>
  <c r="AC55" i="1"/>
  <c r="AC54" i="1"/>
  <c r="AC53" i="1"/>
  <c r="AC52" i="1"/>
  <c r="AC51" i="1"/>
  <c r="AC50" i="1"/>
  <c r="AC45" i="1"/>
  <c r="AC42" i="1"/>
  <c r="AC41" i="1"/>
  <c r="AC39" i="1"/>
  <c r="AC37" i="1"/>
  <c r="AC35" i="1"/>
  <c r="AC25" i="1"/>
  <c r="AC22" i="1"/>
  <c r="AC21" i="1"/>
  <c r="AC20" i="1"/>
  <c r="AC18" i="1"/>
  <c r="AC3" i="1"/>
  <c r="AC4" i="1"/>
  <c r="AC5" i="1"/>
  <c r="AC6" i="1"/>
  <c r="AC7" i="1"/>
  <c r="AC8" i="1"/>
  <c r="AC9" i="1"/>
  <c r="AC10" i="1"/>
  <c r="AC11" i="1"/>
  <c r="AC12" i="1"/>
  <c r="AC13" i="1"/>
  <c r="AC2" i="1"/>
  <c r="AC14" i="1" l="1"/>
  <c r="AC46" i="1"/>
  <c r="AC62" i="1"/>
  <c r="AC30" i="1"/>
  <c r="X2" i="1" l="1"/>
  <c r="Y5" i="1" l="1"/>
  <c r="W3" i="1" l="1"/>
  <c r="X3" i="1" s="1"/>
  <c r="W44" i="1" l="1"/>
  <c r="X44" i="1" s="1"/>
  <c r="W34" i="1"/>
  <c r="X34" i="1" s="1"/>
  <c r="W26" i="1"/>
  <c r="X26" i="1" s="1"/>
  <c r="W28" i="1"/>
  <c r="X28" i="1" s="1"/>
  <c r="Y60" i="1" l="1"/>
  <c r="Y61" i="1"/>
  <c r="Y58" i="1"/>
  <c r="Y55" i="1"/>
  <c r="Y56" i="1"/>
  <c r="Y57" i="1"/>
  <c r="Y54" i="1"/>
  <c r="Y52" i="1"/>
  <c r="Y53" i="1"/>
  <c r="Y50" i="1"/>
  <c r="Y45" i="1"/>
  <c r="Y41" i="1"/>
  <c r="Y37" i="1"/>
  <c r="Y22" i="1"/>
  <c r="Y18" i="1"/>
  <c r="Y11" i="1"/>
  <c r="Y12" i="1"/>
  <c r="Y13" i="1"/>
  <c r="Y10" i="1"/>
  <c r="Y8" i="1"/>
  <c r="Y7" i="1"/>
  <c r="Y6" i="1"/>
  <c r="Y9" i="1"/>
  <c r="Y3" i="1"/>
  <c r="Y4" i="1"/>
  <c r="Y30" i="1" l="1"/>
  <c r="Y62" i="1"/>
  <c r="Y14" i="1"/>
  <c r="Y46" i="1"/>
  <c r="W51" i="1" l="1"/>
  <c r="X51" i="1" s="1"/>
  <c r="W52" i="1"/>
  <c r="X52" i="1" s="1"/>
  <c r="W53" i="1"/>
  <c r="X53" i="1" s="1"/>
  <c r="W54" i="1"/>
  <c r="X54" i="1" s="1"/>
  <c r="W55" i="1"/>
  <c r="X55" i="1" s="1"/>
  <c r="W56" i="1"/>
  <c r="X56" i="1" s="1"/>
  <c r="W57" i="1"/>
  <c r="X57" i="1" s="1"/>
  <c r="W58" i="1"/>
  <c r="X58" i="1" s="1"/>
  <c r="W59" i="1"/>
  <c r="X59" i="1" s="1"/>
  <c r="W60" i="1"/>
  <c r="X60" i="1" s="1"/>
  <c r="W61" i="1"/>
  <c r="X61" i="1" s="1"/>
  <c r="W20" i="1"/>
  <c r="X20" i="1" s="1"/>
  <c r="W21" i="1"/>
  <c r="X21" i="1" s="1"/>
  <c r="W22" i="1"/>
  <c r="X22" i="1" s="1"/>
  <c r="W25" i="1"/>
  <c r="X25" i="1" s="1"/>
  <c r="S30" i="1" l="1"/>
  <c r="S62" i="1"/>
  <c r="W18" i="1"/>
  <c r="X18" i="1" s="1"/>
  <c r="W50" i="1"/>
  <c r="X50" i="1" s="1"/>
  <c r="R62" i="1"/>
  <c r="E62" i="1"/>
  <c r="F62" i="1"/>
  <c r="D62" i="1"/>
  <c r="E30" i="1"/>
  <c r="F30" i="1"/>
  <c r="D30" i="1"/>
  <c r="E14" i="1"/>
  <c r="F14" i="1"/>
  <c r="D14" i="1"/>
  <c r="E46" i="1"/>
  <c r="F46" i="1"/>
  <c r="D46" i="1"/>
  <c r="W13" i="1"/>
  <c r="X13" i="1" s="1"/>
  <c r="W37" i="1"/>
  <c r="X37" i="1" s="1"/>
  <c r="W39" i="1"/>
  <c r="X39" i="1" s="1"/>
  <c r="W41" i="1"/>
  <c r="X41" i="1" s="1"/>
  <c r="W42" i="1"/>
  <c r="X42" i="1" s="1"/>
  <c r="W45" i="1"/>
  <c r="X45" i="1" s="1"/>
  <c r="X62" i="1" l="1"/>
  <c r="X30" i="1"/>
  <c r="W62" i="1"/>
  <c r="R30" i="1"/>
  <c r="W30" i="1"/>
  <c r="W35" i="1"/>
  <c r="W4" i="1"/>
  <c r="X4" i="1" s="1"/>
  <c r="W5" i="1"/>
  <c r="X5" i="1" s="1"/>
  <c r="W6" i="1"/>
  <c r="X6" i="1" s="1"/>
  <c r="W7" i="1"/>
  <c r="X7" i="1" s="1"/>
  <c r="W8" i="1"/>
  <c r="X8" i="1" s="1"/>
  <c r="W9" i="1"/>
  <c r="X9" i="1" s="1"/>
  <c r="W10" i="1"/>
  <c r="X10" i="1" s="1"/>
  <c r="W11" i="1"/>
  <c r="X11" i="1" s="1"/>
  <c r="W12" i="1"/>
  <c r="X12" i="1" s="1"/>
  <c r="X35" i="1" l="1"/>
  <c r="X14" i="1"/>
  <c r="S46" i="1"/>
  <c r="W46" i="1"/>
  <c r="R46" i="1"/>
  <c r="B3" i="1"/>
  <c r="B4" i="1" s="1"/>
  <c r="B5" i="1" s="1"/>
  <c r="B6" i="1" s="1"/>
  <c r="B7" i="1" s="1"/>
  <c r="B8" i="1" s="1"/>
  <c r="B9" i="1" s="1"/>
  <c r="B10" i="1" s="1"/>
  <c r="B11" i="1" s="1"/>
  <c r="B12" i="1" s="1"/>
  <c r="X46" i="1" l="1"/>
  <c r="S14" i="1"/>
  <c r="W14" i="1"/>
  <c r="R14" i="1"/>
  <c r="B13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</calcChain>
</file>

<file path=xl/sharedStrings.xml><?xml version="1.0" encoding="utf-8"?>
<sst xmlns="http://schemas.openxmlformats.org/spreadsheetml/2006/main" count="45" uniqueCount="30">
  <si>
    <t>-</t>
  </si>
  <si>
    <t>mean</t>
  </si>
  <si>
    <t xml:space="preserve">mean </t>
  </si>
  <si>
    <t>Specific Growth rate G</t>
  </si>
  <si>
    <t>FCR</t>
  </si>
  <si>
    <t>0°C</t>
  </si>
  <si>
    <t>2°C</t>
  </si>
  <si>
    <t>4°C</t>
  </si>
  <si>
    <t>1°C</t>
  </si>
  <si>
    <t>WM/DM conversion factor (calculated from tissue samples)</t>
  </si>
  <si>
    <t>BW [g]</t>
  </si>
  <si>
    <t>TL [cm]</t>
  </si>
  <si>
    <t>SL [cm]</t>
  </si>
  <si>
    <t>Temp [°C]</t>
  </si>
  <si>
    <t>Fish no</t>
  </si>
  <si>
    <t>Date</t>
  </si>
  <si>
    <t>Days incubation</t>
  </si>
  <si>
    <t>Mean BW [g]</t>
  </si>
  <si>
    <t>Growth TL [%/day]</t>
  </si>
  <si>
    <t>Growth SL [%/day]</t>
  </si>
  <si>
    <t>Growth BW [g/year]</t>
  </si>
  <si>
    <t>Growth [g/d]</t>
  </si>
  <si>
    <t>Growth total BW [g]</t>
  </si>
  <si>
    <t>Growth BW [%]</t>
  </si>
  <si>
    <t>Growth BW [%/d]</t>
  </si>
  <si>
    <t>Food consumed [g DM]</t>
  </si>
  <si>
    <t>Consumed [g WM]</t>
  </si>
  <si>
    <t>Growth energy [J/d]</t>
  </si>
  <si>
    <t>Growth energy [J/g/d]</t>
  </si>
  <si>
    <t>White muscle energy content [J/g]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</si>
</sst>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2" fontId="0" fillId="0" borderId="0" xfId="0" applyNumberFormat="1"/>
    <xf numFmtId="0" fontId="0" fillId="0" borderId="0" xfId="0" applyFill="1"/>
    <xf numFmtId="0" fontId="0" fillId="0" borderId="0" xfId="0" applyFill="1" applyBorder="1"/>
    <xf numFmtId="2" fontId="0" fillId="0" borderId="0" xfId="0" applyNumberFormat="1" applyBorder="1"/>
    <xf numFmtId="0" fontId="0" fillId="0" borderId="0" xfId="0" applyBorder="1"/>
    <xf numFmtId="0" fontId="1" fillId="0" borderId="2" xfId="0" applyFont="1" applyBorder="1"/>
    <xf numFmtId="0" fontId="1" fillId="0" borderId="1" xfId="0" applyFont="1" applyBorder="1"/>
    <xf numFmtId="2" fontId="1" fillId="0" borderId="2" xfId="0" applyNumberFormat="1" applyFont="1" applyBorder="1"/>
    <xf numFmtId="0" fontId="1" fillId="0" borderId="2" xfId="0" applyFont="1" applyFill="1" applyBorder="1"/>
    <xf numFmtId="0" fontId="1" fillId="0" borderId="1" xfId="0" applyFont="1" applyFill="1" applyBorder="1"/>
    <xf numFmtId="2" fontId="1" fillId="0" borderId="1" xfId="0" applyNumberFormat="1" applyFont="1" applyBorder="1"/>
    <xf numFmtId="2" fontId="0" fillId="0" borderId="0" xfId="0" applyNumberFormat="1" applyFill="1" applyBorder="1" applyAlignment="1">
      <alignment vertical="center"/>
    </xf>
    <xf numFmtId="2" fontId="0" fillId="0" borderId="0" xfId="0" applyNumberFormat="1" applyFill="1" applyBorder="1" applyAlignment="1">
      <alignment horizontal="center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2" fontId="0" fillId="0" borderId="0" xfId="0" applyNumberFormat="1"/>
    <xf numFmtId="0" fontId="1" fillId="0" borderId="0" xfId="0" applyFont="1" applyAlignment="1">
      <alignment wrapText="1"/>
    </xf>
    <xf numFmtId="2" fontId="1" fillId="0" borderId="0" xfId="0" applyNumberFormat="1" applyFont="1" applyFill="1" applyBorder="1"/>
    <xf numFmtId="2" fontId="1" fillId="0" borderId="1" xfId="0" applyNumberFormat="1" applyFont="1" applyFill="1" applyBorder="1"/>
    <xf numFmtId="0" fontId="0" fillId="0" borderId="0" xfId="0" applyFont="1" applyFill="1" applyBorder="1"/>
    <xf numFmtId="2" fontId="1" fillId="0" borderId="2" xfId="0" applyNumberFormat="1" applyFont="1" applyFill="1" applyBorder="1"/>
    <xf numFmtId="0" fontId="0" fillId="0" borderId="1" xfId="0" applyFont="1" applyFill="1" applyBorder="1"/>
    <xf numFmtId="164" fontId="0" fillId="0" borderId="0" xfId="0" applyNumberFormat="1"/>
    <xf numFmtId="165" fontId="1" fillId="0" borderId="0" xfId="0" applyNumberFormat="1" applyFont="1" applyFill="1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12" xfId="0" applyNumberFormat="1" applyBorder="1"/>
    <xf numFmtId="2" fontId="0" fillId="0" borderId="13" xfId="0" applyNumberFormat="1" applyBorder="1"/>
    <xf numFmtId="0" fontId="1" fillId="0" borderId="10" xfId="0" applyFont="1" applyBorder="1"/>
    <xf numFmtId="2" fontId="1" fillId="0" borderId="11" xfId="0" applyNumberFormat="1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2" fontId="1" fillId="0" borderId="13" xfId="0" applyNumberFormat="1" applyFont="1" applyBorder="1"/>
    <xf numFmtId="2" fontId="1" fillId="0" borderId="15" xfId="0" applyNumberFormat="1" applyFont="1" applyBorder="1"/>
    <xf numFmtId="14" fontId="1" fillId="0" borderId="10" xfId="0" applyNumberFormat="1" applyFont="1" applyBorder="1"/>
    <xf numFmtId="14" fontId="1" fillId="0" borderId="12" xfId="0" applyNumberFormat="1" applyFont="1" applyBorder="1"/>
    <xf numFmtId="14" fontId="1" fillId="0" borderId="14" xfId="0" applyNumberFormat="1" applyFont="1" applyBorder="1"/>
    <xf numFmtId="0" fontId="0" fillId="0" borderId="12" xfId="0" applyBorder="1"/>
    <xf numFmtId="0" fontId="0" fillId="0" borderId="13" xfId="0" applyBorder="1"/>
    <xf numFmtId="0" fontId="1" fillId="0" borderId="11" xfId="0" applyFont="1" applyBorder="1"/>
    <xf numFmtId="2" fontId="0" fillId="0" borderId="13" xfId="0" applyNumberFormat="1" applyFill="1" applyBorder="1" applyAlignment="1">
      <alignment horizontal="center"/>
    </xf>
    <xf numFmtId="14" fontId="0" fillId="0" borderId="12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2" fontId="1" fillId="0" borderId="0" xfId="0" applyNumberFormat="1" applyFont="1" applyFill="1" applyBorder="1" applyAlignment="1">
      <alignment vertical="center" wrapText="1"/>
    </xf>
    <xf numFmtId="164" fontId="1" fillId="0" borderId="2" xfId="0" applyNumberFormat="1" applyFont="1" applyBorder="1"/>
    <xf numFmtId="164" fontId="1" fillId="0" borderId="0" xfId="0" applyNumberFormat="1" applyFont="1" applyBorder="1"/>
    <xf numFmtId="164" fontId="1" fillId="0" borderId="0" xfId="0" applyNumberFormat="1" applyFont="1" applyFill="1" applyBorder="1"/>
    <xf numFmtId="164" fontId="1" fillId="0" borderId="1" xfId="0" applyNumberFormat="1" applyFont="1" applyFill="1" applyBorder="1"/>
    <xf numFmtId="2" fontId="2" fillId="0" borderId="0" xfId="0" applyNumberFormat="1" applyFont="1" applyBorder="1"/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4ECB7"/>
      <color rgb="FFFF5050"/>
      <color rgb="FF66FF66"/>
      <color rgb="FFFFE2A7"/>
      <color rgb="FF2499C2"/>
      <color rgb="FFFF9999"/>
      <color rgb="FFFFCCCC"/>
      <color rgb="FF00CC66"/>
      <color rgb="FF33CC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eed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iochem%20composition_T.%20bernacch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°C"/>
      <sheetName val="2 °C"/>
      <sheetName val="4 °C"/>
      <sheetName val="1 °C"/>
      <sheetName val="ww-dw conversion"/>
      <sheetName val="alu pan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A8">
            <v>29.966238390903783</v>
          </cell>
          <cell r="B8">
            <v>5.3585193458863669</v>
          </cell>
          <cell r="E8">
            <v>1.255244415555145</v>
          </cell>
          <cell r="H8">
            <v>4.0295786987796438</v>
          </cell>
          <cell r="K8">
            <v>5.4655167111859821</v>
          </cell>
        </row>
        <row r="9">
          <cell r="B9">
            <v>4.2411477428292192</v>
          </cell>
          <cell r="E9">
            <v>0.25029601360611548</v>
          </cell>
          <cell r="H9">
            <v>2.4204312469010123</v>
          </cell>
          <cell r="K9">
            <v>1.918974101382517</v>
          </cell>
        </row>
        <row r="10">
          <cell r="B10">
            <v>1.9639655221948935</v>
          </cell>
          <cell r="E10">
            <v>2.0300816442221592</v>
          </cell>
          <cell r="H10">
            <v>0.24659078265293197</v>
          </cell>
          <cell r="K10">
            <v>2.2499650765278636</v>
          </cell>
        </row>
        <row r="11">
          <cell r="B11">
            <v>2.475981103424187</v>
          </cell>
          <cell r="E11">
            <v>2.2189018212561304</v>
          </cell>
          <cell r="H11">
            <v>3.8739858653454853</v>
          </cell>
          <cell r="K11">
            <v>1.1933817797130155</v>
          </cell>
        </row>
        <row r="12">
          <cell r="B12">
            <v>4.947012250872163</v>
          </cell>
          <cell r="E12">
            <v>3.0279029184286457</v>
          </cell>
          <cell r="H12">
            <v>0.78058822141483364</v>
          </cell>
          <cell r="K12">
            <v>2.7486597103299033</v>
          </cell>
        </row>
        <row r="13">
          <cell r="B13">
            <v>3.901172659869752</v>
          </cell>
          <cell r="E13">
            <v>1.0183184215220544</v>
          </cell>
          <cell r="H13">
            <v>2.8817064373830954</v>
          </cell>
          <cell r="K13">
            <v>3.3007654996420768</v>
          </cell>
        </row>
        <row r="14">
          <cell r="B14">
            <v>4.4140573349630694</v>
          </cell>
          <cell r="E14">
            <v>0.76579783773085042</v>
          </cell>
          <cell r="H14">
            <v>0.97969893253050688</v>
          </cell>
          <cell r="K14">
            <v>3.8465951052453695</v>
          </cell>
        </row>
        <row r="15">
          <cell r="B15">
            <v>3.2144845390012864</v>
          </cell>
          <cell r="E15">
            <v>1.9408171281764799</v>
          </cell>
          <cell r="H15">
            <v>2.3003301473556359</v>
          </cell>
          <cell r="K15">
            <v>3.5045212822794354</v>
          </cell>
        </row>
        <row r="16">
          <cell r="B16">
            <v>2.5348956026339065</v>
          </cell>
          <cell r="E16">
            <v>0.54759082712048568</v>
          </cell>
          <cell r="H16">
            <v>1.557776073674445</v>
          </cell>
          <cell r="K16">
            <v>2.4352267873676015</v>
          </cell>
        </row>
        <row r="17">
          <cell r="B17">
            <v>1.2228644772782158</v>
          </cell>
          <cell r="E17">
            <v>0.6520473592628796</v>
          </cell>
          <cell r="H17">
            <v>0</v>
          </cell>
          <cell r="K17">
            <v>1.9723576879089175</v>
          </cell>
        </row>
        <row r="18">
          <cell r="B18">
            <v>1.8442315264514197</v>
          </cell>
          <cell r="E18">
            <v>0.86827299482926712</v>
          </cell>
          <cell r="H18">
            <v>0.67555414863217877</v>
          </cell>
          <cell r="K18">
            <v>0.35811998465225975</v>
          </cell>
        </row>
        <row r="19">
          <cell r="B19">
            <v>0.80087078968501246</v>
          </cell>
          <cell r="E19">
            <v>0.10173497983561645</v>
          </cell>
          <cell r="H19">
            <v>0.7540560134014912</v>
          </cell>
          <cell r="K19">
            <v>0.30572254907525698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 content"/>
      <sheetName val="CN"/>
      <sheetName val="lipids_liver"/>
      <sheetName val="lipids_white muscle"/>
      <sheetName val="Einwaage CN &amp; Lipidanalyse"/>
      <sheetName val="mortality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J5">
            <v>4.9361019635549166</v>
          </cell>
        </row>
        <row r="8">
          <cell r="J8">
            <v>5.0964762601106752</v>
          </cell>
        </row>
        <row r="11">
          <cell r="J11">
            <v>5.0672484238721802</v>
          </cell>
        </row>
        <row r="14">
          <cell r="J14">
            <v>5.066478714935946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J70"/>
  <sheetViews>
    <sheetView tabSelected="1" zoomScale="60" zoomScaleNormal="60" workbookViewId="0">
      <selection activeCell="AJ1" sqref="AJ1"/>
    </sheetView>
  </sheetViews>
  <sheetFormatPr baseColWidth="10" defaultRowHeight="15" x14ac:dyDescent="0.25"/>
  <cols>
    <col min="11" max="11" width="11.5703125" customWidth="1"/>
    <col min="18" max="19" width="11.42578125" style="24"/>
    <col min="20" max="20" width="11.42578125" style="1"/>
    <col min="21" max="22" width="11.42578125" style="17"/>
    <col min="23" max="23" width="11.42578125" style="1"/>
    <col min="24" max="24" width="11.42578125" style="17"/>
    <col min="25" max="26" width="11.42578125" style="21"/>
    <col min="27" max="30" width="11.42578125" style="2"/>
    <col min="35" max="35" width="20.28515625" customWidth="1"/>
    <col min="36" max="36" width="23.85546875" customWidth="1"/>
  </cols>
  <sheetData>
    <row r="1" spans="1:36" s="18" customFormat="1" ht="45" x14ac:dyDescent="0.25">
      <c r="A1" s="62" t="s">
        <v>13</v>
      </c>
      <c r="B1" s="62" t="s">
        <v>14</v>
      </c>
      <c r="C1" s="63" t="s">
        <v>15</v>
      </c>
      <c r="D1" s="64" t="s">
        <v>11</v>
      </c>
      <c r="E1" s="64" t="s">
        <v>12</v>
      </c>
      <c r="F1" s="65" t="s">
        <v>10</v>
      </c>
      <c r="G1" s="63" t="s">
        <v>15</v>
      </c>
      <c r="H1" s="64" t="s">
        <v>11</v>
      </c>
      <c r="I1" s="64" t="s">
        <v>12</v>
      </c>
      <c r="J1" s="65" t="s">
        <v>10</v>
      </c>
      <c r="K1" s="63" t="s">
        <v>15</v>
      </c>
      <c r="L1" s="64" t="s">
        <v>11</v>
      </c>
      <c r="M1" s="64" t="s">
        <v>12</v>
      </c>
      <c r="N1" s="65" t="s">
        <v>10</v>
      </c>
      <c r="O1" s="62" t="s">
        <v>16</v>
      </c>
      <c r="P1" s="52" t="s">
        <v>17</v>
      </c>
      <c r="Q1" s="62"/>
      <c r="R1" s="66" t="s">
        <v>18</v>
      </c>
      <c r="S1" s="66" t="s">
        <v>19</v>
      </c>
      <c r="T1" s="67" t="s">
        <v>20</v>
      </c>
      <c r="U1" s="67" t="s">
        <v>21</v>
      </c>
      <c r="V1" s="67" t="s">
        <v>22</v>
      </c>
      <c r="W1" s="67" t="s">
        <v>23</v>
      </c>
      <c r="X1" s="67" t="s">
        <v>24</v>
      </c>
      <c r="Y1" s="68" t="s">
        <v>3</v>
      </c>
      <c r="Z1" s="68"/>
      <c r="AA1" s="69" t="s">
        <v>25</v>
      </c>
      <c r="AB1" s="69" t="s">
        <v>26</v>
      </c>
      <c r="AC1" s="69" t="s">
        <v>4</v>
      </c>
      <c r="AD1" s="69"/>
      <c r="AE1" s="69" t="s">
        <v>27</v>
      </c>
      <c r="AF1" s="69" t="s">
        <v>28</v>
      </c>
      <c r="AH1" s="27"/>
      <c r="AI1" s="58" t="s">
        <v>29</v>
      </c>
      <c r="AJ1" s="59" t="s">
        <v>9</v>
      </c>
    </row>
    <row r="2" spans="1:36" x14ac:dyDescent="0.25">
      <c r="A2" s="70">
        <v>0</v>
      </c>
      <c r="B2" s="2">
        <v>1</v>
      </c>
      <c r="C2" s="32">
        <v>41607</v>
      </c>
      <c r="D2" s="4">
        <v>15.9</v>
      </c>
      <c r="E2" s="4">
        <v>14.2</v>
      </c>
      <c r="F2" s="33">
        <v>47</v>
      </c>
      <c r="G2" s="32">
        <v>41645</v>
      </c>
      <c r="H2" s="4">
        <v>16</v>
      </c>
      <c r="I2" s="4">
        <v>14.25</v>
      </c>
      <c r="J2" s="33">
        <v>55.3</v>
      </c>
      <c r="K2" s="49">
        <v>41676</v>
      </c>
      <c r="L2" s="50">
        <v>16.2</v>
      </c>
      <c r="M2" s="50">
        <v>14.5</v>
      </c>
      <c r="N2" s="51">
        <v>57.9</v>
      </c>
      <c r="O2">
        <v>70</v>
      </c>
      <c r="P2" s="12">
        <f>AVERAGE(F2,N2)</f>
        <v>52.45</v>
      </c>
      <c r="R2" s="24">
        <f t="shared" ref="R2:R11" si="0">((L2-D2)/O2)*100/D2</f>
        <v>2.6954177897574028E-2</v>
      </c>
      <c r="S2" s="24">
        <f t="shared" ref="S2:S13" si="1">((M2-E2)/O2)*100/E2</f>
        <v>3.0181086519114757E-2</v>
      </c>
      <c r="T2" s="1">
        <f t="shared" ref="T2:T13" si="2">((N2-F2)/O2)*365</f>
        <v>56.835714285714275</v>
      </c>
      <c r="U2" s="24">
        <f t="shared" ref="U2:U13" si="3">(N2-F2)/O2</f>
        <v>0.15571428571428569</v>
      </c>
      <c r="V2" s="17">
        <f t="shared" ref="V2:V13" si="4">N2-F2</f>
        <v>10.899999999999999</v>
      </c>
      <c r="W2" s="1">
        <f t="shared" ref="W2:W13" si="5">T2*100/F2</f>
        <v>120.9270516717325</v>
      </c>
      <c r="X2" s="17">
        <f>W2/365</f>
        <v>0.33130699088145893</v>
      </c>
      <c r="Y2" s="21">
        <f>100*(LN(N2)-LN(F2))/(70-0)</f>
        <v>0.29795683266984468</v>
      </c>
      <c r="AA2" s="2">
        <f>[1]Tabelle1!B8</f>
        <v>5.3585193458863669</v>
      </c>
      <c r="AB2" s="2">
        <v>29.966238390903783</v>
      </c>
      <c r="AC2" s="2">
        <f t="shared" ref="AC2:AC13" si="6">V2/AB2</f>
        <v>0.36374268461098141</v>
      </c>
      <c r="AE2">
        <f t="shared" ref="AE2:AE13" si="7">(((N2-F2)*$AI$2/O2))/$AJ$2</f>
        <v>766.83792386416587</v>
      </c>
      <c r="AF2">
        <f t="shared" ref="AF2:AF13" si="8">AE2/P2</f>
        <v>14.620360798172847</v>
      </c>
      <c r="AH2" s="28" t="s">
        <v>5</v>
      </c>
      <c r="AI2" s="5">
        <v>24308.560799999999</v>
      </c>
      <c r="AJ2" s="29">
        <f>'[2]Einwaage CN &amp; Lipidanalyse'!J5</f>
        <v>4.9361019635549166</v>
      </c>
    </row>
    <row r="3" spans="1:36" x14ac:dyDescent="0.25">
      <c r="A3" s="70"/>
      <c r="B3" s="2">
        <f>B2+1</f>
        <v>2</v>
      </c>
      <c r="C3" s="32">
        <v>41607</v>
      </c>
      <c r="D3" s="4">
        <v>13.7</v>
      </c>
      <c r="E3" s="4">
        <v>12.3</v>
      </c>
      <c r="F3" s="33">
        <v>27.7</v>
      </c>
      <c r="G3" s="32">
        <v>41645</v>
      </c>
      <c r="H3" s="4">
        <v>13.7</v>
      </c>
      <c r="I3" s="4">
        <v>12.4</v>
      </c>
      <c r="J3" s="33">
        <v>34.5</v>
      </c>
      <c r="K3" s="49">
        <v>41676</v>
      </c>
      <c r="L3" s="50">
        <v>14</v>
      </c>
      <c r="M3" s="50">
        <v>12.6</v>
      </c>
      <c r="N3" s="51">
        <v>33.1</v>
      </c>
      <c r="O3">
        <v>70</v>
      </c>
      <c r="P3" s="12">
        <f t="shared" ref="P3:P13" si="9">AVERAGE(F3,N3)</f>
        <v>30.4</v>
      </c>
      <c r="R3" s="24">
        <f t="shared" si="0"/>
        <v>3.1282586027111647E-2</v>
      </c>
      <c r="S3" s="24">
        <f t="shared" si="1"/>
        <v>3.4843205574912765E-2</v>
      </c>
      <c r="T3" s="17">
        <f t="shared" si="2"/>
        <v>28.157142857142869</v>
      </c>
      <c r="U3" s="24">
        <f t="shared" si="3"/>
        <v>7.714285714285718E-2</v>
      </c>
      <c r="V3" s="17">
        <f t="shared" si="4"/>
        <v>5.4000000000000021</v>
      </c>
      <c r="W3" s="1">
        <f t="shared" si="5"/>
        <v>101.65033522434248</v>
      </c>
      <c r="X3" s="17">
        <f t="shared" ref="X3:X13" si="10">W3/365</f>
        <v>0.27849406910778762</v>
      </c>
      <c r="Y3" s="21">
        <f>100*(LN(N3)-LN(F3))/(70-0)</f>
        <v>0.25442981312817831</v>
      </c>
      <c r="AA3" s="2">
        <f>[1]Tabelle1!B9</f>
        <v>4.2411477428292192</v>
      </c>
      <c r="AB3" s="2">
        <v>23.717604828697574</v>
      </c>
      <c r="AC3" s="2">
        <f t="shared" si="6"/>
        <v>0.22767897681920088</v>
      </c>
      <c r="AE3">
        <f t="shared" si="7"/>
        <v>379.90135677674294</v>
      </c>
      <c r="AF3">
        <f t="shared" si="8"/>
        <v>12.496755157129703</v>
      </c>
      <c r="AH3" s="28" t="s">
        <v>6</v>
      </c>
      <c r="AI3" s="5">
        <v>24556.977599999998</v>
      </c>
      <c r="AJ3" s="29">
        <f>'[2]Einwaage CN &amp; Lipidanalyse'!J8</f>
        <v>5.0964762601106752</v>
      </c>
    </row>
    <row r="4" spans="1:36" x14ac:dyDescent="0.25">
      <c r="A4" s="70"/>
      <c r="B4" s="2">
        <f t="shared" ref="B4:B60" si="11">B3+1</f>
        <v>3</v>
      </c>
      <c r="C4" s="32">
        <v>41607</v>
      </c>
      <c r="D4" s="4">
        <v>12.7</v>
      </c>
      <c r="E4" s="4">
        <v>11.4</v>
      </c>
      <c r="F4" s="33">
        <v>22.4</v>
      </c>
      <c r="G4" s="32">
        <v>41645</v>
      </c>
      <c r="H4" s="4">
        <v>12.9</v>
      </c>
      <c r="I4" s="4">
        <v>11.4</v>
      </c>
      <c r="J4" s="33">
        <v>24.2</v>
      </c>
      <c r="K4" s="49">
        <v>41676</v>
      </c>
      <c r="L4" s="50">
        <v>13</v>
      </c>
      <c r="M4" s="50">
        <v>11.5</v>
      </c>
      <c r="N4" s="51">
        <v>25.3</v>
      </c>
      <c r="O4">
        <v>70</v>
      </c>
      <c r="P4" s="12">
        <f t="shared" si="9"/>
        <v>23.85</v>
      </c>
      <c r="R4" s="24">
        <f t="shared" si="0"/>
        <v>3.3745781777277918E-2</v>
      </c>
      <c r="S4" s="24">
        <f t="shared" si="1"/>
        <v>1.2531328320801961E-2</v>
      </c>
      <c r="T4" s="17">
        <f t="shared" si="2"/>
        <v>15.121428571428583</v>
      </c>
      <c r="U4" s="24">
        <f t="shared" si="3"/>
        <v>4.142857142857146E-2</v>
      </c>
      <c r="V4" s="17">
        <f t="shared" si="4"/>
        <v>2.9000000000000021</v>
      </c>
      <c r="W4" s="1">
        <f t="shared" si="5"/>
        <v>67.506377551020464</v>
      </c>
      <c r="X4" s="17">
        <f t="shared" si="10"/>
        <v>0.1849489795918369</v>
      </c>
      <c r="Y4" s="21">
        <f>100*(LN(N4)-LN(F4))/(70-0)</f>
        <v>0.1739191955321148</v>
      </c>
      <c r="AA4" s="2">
        <f>[1]Tabelle1!B10</f>
        <v>1.9639655221948935</v>
      </c>
      <c r="AB4" s="2">
        <v>10.983007661395881</v>
      </c>
      <c r="AC4" s="2">
        <f t="shared" si="6"/>
        <v>0.26404424811549554</v>
      </c>
      <c r="AE4">
        <f t="shared" si="7"/>
        <v>204.02109900973241</v>
      </c>
      <c r="AF4">
        <f t="shared" si="8"/>
        <v>8.5543437739929722</v>
      </c>
      <c r="AH4" s="28" t="s">
        <v>7</v>
      </c>
      <c r="AI4" s="5">
        <v>24555.581999999999</v>
      </c>
      <c r="AJ4" s="29">
        <f>'[2]Einwaage CN &amp; Lipidanalyse'!J11</f>
        <v>5.0672484238721802</v>
      </c>
    </row>
    <row r="5" spans="1:36" ht="15.75" thickBot="1" x14ac:dyDescent="0.3">
      <c r="A5" s="70"/>
      <c r="B5" s="2">
        <f t="shared" si="11"/>
        <v>4</v>
      </c>
      <c r="C5" s="32">
        <v>41612</v>
      </c>
      <c r="D5" s="4">
        <v>16.399999999999999</v>
      </c>
      <c r="E5" s="4">
        <v>14.6</v>
      </c>
      <c r="F5" s="33">
        <v>48.1</v>
      </c>
      <c r="G5" s="32">
        <v>41645</v>
      </c>
      <c r="H5" s="4">
        <v>16.399999999999999</v>
      </c>
      <c r="I5" s="4">
        <v>14.5</v>
      </c>
      <c r="J5" s="33">
        <v>55</v>
      </c>
      <c r="K5" s="49">
        <v>41676</v>
      </c>
      <c r="L5" s="50">
        <v>16.399999999999999</v>
      </c>
      <c r="M5" s="50">
        <v>14.6</v>
      </c>
      <c r="N5" s="51">
        <v>51.7</v>
      </c>
      <c r="O5">
        <v>65</v>
      </c>
      <c r="P5" s="12">
        <f t="shared" si="9"/>
        <v>49.900000000000006</v>
      </c>
      <c r="R5" s="24">
        <f t="shared" si="0"/>
        <v>0</v>
      </c>
      <c r="S5" s="24">
        <f t="shared" si="1"/>
        <v>0</v>
      </c>
      <c r="T5" s="17">
        <f t="shared" si="2"/>
        <v>20.215384615384625</v>
      </c>
      <c r="U5" s="24">
        <f t="shared" si="3"/>
        <v>5.5384615384615407E-2</v>
      </c>
      <c r="V5" s="17">
        <f t="shared" si="4"/>
        <v>3.6000000000000014</v>
      </c>
      <c r="W5" s="1">
        <f t="shared" si="5"/>
        <v>42.027826643211277</v>
      </c>
      <c r="X5" s="17">
        <f t="shared" si="10"/>
        <v>0.11514473052934597</v>
      </c>
      <c r="Y5" s="21">
        <f>100*(LN(N5)-LN(F5))/(65-0)</f>
        <v>0.11103939138872002</v>
      </c>
      <c r="AA5" s="2">
        <f>[1]Tabelle1!B11</f>
        <v>2.475981103424187</v>
      </c>
      <c r="AB5" s="2">
        <v>13.846332392835516</v>
      </c>
      <c r="AC5" s="2">
        <f t="shared" si="6"/>
        <v>0.25999664733332151</v>
      </c>
      <c r="AE5">
        <f t="shared" si="7"/>
        <v>272.74969204484114</v>
      </c>
      <c r="AF5">
        <f t="shared" si="8"/>
        <v>5.4659256922813846</v>
      </c>
      <c r="AH5" s="30" t="s">
        <v>8</v>
      </c>
      <c r="AI5" s="26">
        <v>24418.813200000001</v>
      </c>
      <c r="AJ5" s="31">
        <f>'[2]Einwaage CN &amp; Lipidanalyse'!J14</f>
        <v>5.066478714935946</v>
      </c>
    </row>
    <row r="6" spans="1:36" x14ac:dyDescent="0.25">
      <c r="A6" s="70"/>
      <c r="B6" s="2">
        <f t="shared" si="11"/>
        <v>5</v>
      </c>
      <c r="C6" s="32">
        <v>41612</v>
      </c>
      <c r="D6" s="4">
        <v>15.6</v>
      </c>
      <c r="E6" s="4">
        <v>13.8</v>
      </c>
      <c r="F6" s="33">
        <v>41.7</v>
      </c>
      <c r="G6" s="32">
        <v>41645</v>
      </c>
      <c r="H6" s="4">
        <v>15.5</v>
      </c>
      <c r="I6" s="4">
        <v>13.8</v>
      </c>
      <c r="J6" s="33">
        <v>53.5</v>
      </c>
      <c r="K6" s="49">
        <v>41678</v>
      </c>
      <c r="L6" s="50">
        <v>15.6</v>
      </c>
      <c r="M6" s="50">
        <v>13.9</v>
      </c>
      <c r="N6" s="51">
        <v>49.7</v>
      </c>
      <c r="O6">
        <v>67</v>
      </c>
      <c r="P6" s="12">
        <f t="shared" si="9"/>
        <v>45.7</v>
      </c>
      <c r="R6" s="24">
        <f t="shared" si="0"/>
        <v>0</v>
      </c>
      <c r="S6" s="24">
        <f t="shared" si="1"/>
        <v>1.0815487778498771E-2</v>
      </c>
      <c r="T6" s="17">
        <f t="shared" si="2"/>
        <v>43.582089552238806</v>
      </c>
      <c r="U6" s="24">
        <f t="shared" si="3"/>
        <v>0.11940298507462686</v>
      </c>
      <c r="V6" s="17">
        <f t="shared" si="4"/>
        <v>8</v>
      </c>
      <c r="W6" s="1">
        <f t="shared" si="5"/>
        <v>104.51340420201151</v>
      </c>
      <c r="X6" s="17">
        <f t="shared" si="10"/>
        <v>0.28633809370414115</v>
      </c>
      <c r="Y6" s="21">
        <f>100*(LN(N6)-LN(F6))/(67-0)</f>
        <v>0.26194597656392088</v>
      </c>
      <c r="AA6" s="2">
        <f>[1]Tabelle1!B12</f>
        <v>4.947012250872163</v>
      </c>
      <c r="AB6" s="2">
        <v>27.664983340250572</v>
      </c>
      <c r="AC6" s="2">
        <f t="shared" si="6"/>
        <v>0.28917422076884364</v>
      </c>
      <c r="AE6">
        <f t="shared" si="7"/>
        <v>588.01757820612477</v>
      </c>
      <c r="AF6">
        <f t="shared" si="8"/>
        <v>12.866905431206231</v>
      </c>
    </row>
    <row r="7" spans="1:36" x14ac:dyDescent="0.25">
      <c r="A7" s="70"/>
      <c r="B7" s="2">
        <f t="shared" si="11"/>
        <v>6</v>
      </c>
      <c r="C7" s="32">
        <v>41612</v>
      </c>
      <c r="D7" s="4">
        <v>15.5</v>
      </c>
      <c r="E7" s="57">
        <v>13.8</v>
      </c>
      <c r="F7" s="33">
        <v>42</v>
      </c>
      <c r="G7" s="32">
        <v>41645</v>
      </c>
      <c r="H7" s="4">
        <v>15.6</v>
      </c>
      <c r="I7" s="4">
        <v>14</v>
      </c>
      <c r="J7" s="33">
        <v>51.1</v>
      </c>
      <c r="K7" s="49">
        <v>41678</v>
      </c>
      <c r="L7" s="50">
        <v>15.6</v>
      </c>
      <c r="M7" s="50">
        <v>13.9</v>
      </c>
      <c r="N7" s="51">
        <v>49.1</v>
      </c>
      <c r="O7">
        <v>67</v>
      </c>
      <c r="P7" s="12">
        <f t="shared" si="9"/>
        <v>45.55</v>
      </c>
      <c r="R7" s="24">
        <f t="shared" si="0"/>
        <v>9.6292729898892291E-3</v>
      </c>
      <c r="S7" s="24">
        <f t="shared" si="1"/>
        <v>1.0815487778498771E-2</v>
      </c>
      <c r="T7" s="17">
        <f t="shared" si="2"/>
        <v>38.679104477611951</v>
      </c>
      <c r="U7" s="24">
        <f t="shared" si="3"/>
        <v>0.10597014925373137</v>
      </c>
      <c r="V7" s="17">
        <f t="shared" si="4"/>
        <v>7.1000000000000014</v>
      </c>
      <c r="W7" s="1">
        <f t="shared" si="5"/>
        <v>92.093105899076065</v>
      </c>
      <c r="X7" s="17">
        <f t="shared" si="10"/>
        <v>0.25230987917555087</v>
      </c>
      <c r="Y7" s="21">
        <f>100*(LN(N7)-LN(F7))/(67-0)</f>
        <v>0.23311853211508432</v>
      </c>
      <c r="AA7" s="2">
        <f>[1]Tabelle1!B13</f>
        <v>3.901172659869752</v>
      </c>
      <c r="AB7" s="2">
        <v>21.816375454439246</v>
      </c>
      <c r="AC7" s="2">
        <f t="shared" si="6"/>
        <v>0.32544361068718575</v>
      </c>
      <c r="AE7">
        <f t="shared" si="7"/>
        <v>521.86560065793594</v>
      </c>
      <c r="AF7">
        <f t="shared" si="8"/>
        <v>11.456983549021645</v>
      </c>
    </row>
    <row r="8" spans="1:36" x14ac:dyDescent="0.25">
      <c r="A8" s="70"/>
      <c r="B8" s="2">
        <f t="shared" si="11"/>
        <v>7</v>
      </c>
      <c r="C8" s="32">
        <v>41612</v>
      </c>
      <c r="D8" s="4">
        <v>15.1</v>
      </c>
      <c r="E8" s="4">
        <v>13.2</v>
      </c>
      <c r="F8" s="33">
        <v>39.299999999999997</v>
      </c>
      <c r="G8" s="32">
        <v>41645</v>
      </c>
      <c r="H8" s="4">
        <v>15.1</v>
      </c>
      <c r="I8" s="4">
        <v>13.3</v>
      </c>
      <c r="J8" s="33">
        <v>49.9</v>
      </c>
      <c r="K8" s="49">
        <v>41678</v>
      </c>
      <c r="L8" s="50">
        <v>15.4</v>
      </c>
      <c r="M8" s="50">
        <v>13.5</v>
      </c>
      <c r="N8" s="51">
        <v>46.4</v>
      </c>
      <c r="O8">
        <v>67</v>
      </c>
      <c r="P8" s="12">
        <f t="shared" si="9"/>
        <v>42.849999999999994</v>
      </c>
      <c r="R8" s="24">
        <f t="shared" si="0"/>
        <v>2.9653059207274957E-2</v>
      </c>
      <c r="S8" s="24">
        <f t="shared" si="1"/>
        <v>3.3921302578019077E-2</v>
      </c>
      <c r="T8" s="17">
        <f t="shared" si="2"/>
        <v>38.679104477611951</v>
      </c>
      <c r="U8" s="24">
        <f t="shared" si="3"/>
        <v>0.10597014925373137</v>
      </c>
      <c r="V8" s="17">
        <f t="shared" si="4"/>
        <v>7.1000000000000014</v>
      </c>
      <c r="W8" s="1">
        <f t="shared" si="5"/>
        <v>98.420113174585126</v>
      </c>
      <c r="X8" s="17">
        <f t="shared" si="10"/>
        <v>0.26964414568379486</v>
      </c>
      <c r="Y8" s="21">
        <f>100*(LN(N8)-LN(F8))/(67-0)</f>
        <v>0.24787304530894644</v>
      </c>
      <c r="AA8" s="2">
        <f>[1]Tabelle1!B14</f>
        <v>4.4140573349630694</v>
      </c>
      <c r="AB8" s="2">
        <v>24.684560385540831</v>
      </c>
      <c r="AC8" s="2">
        <f t="shared" si="6"/>
        <v>0.2876291855762147</v>
      </c>
      <c r="AE8">
        <f t="shared" si="7"/>
        <v>521.86560065793594</v>
      </c>
      <c r="AF8">
        <f t="shared" si="8"/>
        <v>12.178893830990338</v>
      </c>
    </row>
    <row r="9" spans="1:36" x14ac:dyDescent="0.25">
      <c r="A9" s="70"/>
      <c r="B9" s="2">
        <f t="shared" si="11"/>
        <v>8</v>
      </c>
      <c r="C9" s="32">
        <v>41614</v>
      </c>
      <c r="D9" s="4">
        <v>14</v>
      </c>
      <c r="E9" s="4">
        <v>12.4</v>
      </c>
      <c r="F9" s="33">
        <v>32.1</v>
      </c>
      <c r="G9" s="32">
        <v>41645</v>
      </c>
      <c r="H9" s="4">
        <v>14.1</v>
      </c>
      <c r="I9" s="4">
        <v>12.6</v>
      </c>
      <c r="J9" s="33">
        <v>39.5</v>
      </c>
      <c r="K9" s="49">
        <v>41678</v>
      </c>
      <c r="L9" s="50">
        <v>14.25</v>
      </c>
      <c r="M9" s="50">
        <v>12.65</v>
      </c>
      <c r="N9" s="51">
        <v>39.299999999999997</v>
      </c>
      <c r="O9">
        <v>65</v>
      </c>
      <c r="P9" s="12">
        <f t="shared" si="9"/>
        <v>35.700000000000003</v>
      </c>
      <c r="R9" s="24">
        <f t="shared" si="0"/>
        <v>2.7472527472527476E-2</v>
      </c>
      <c r="S9" s="24">
        <f t="shared" si="1"/>
        <v>3.1017369727047148E-2</v>
      </c>
      <c r="T9" s="17">
        <f t="shared" si="2"/>
        <v>40.430769230769208</v>
      </c>
      <c r="U9" s="24">
        <f t="shared" si="3"/>
        <v>0.1107692307692307</v>
      </c>
      <c r="V9" s="17">
        <f t="shared" si="4"/>
        <v>7.1999999999999957</v>
      </c>
      <c r="W9" s="1">
        <f t="shared" si="5"/>
        <v>125.95255212077633</v>
      </c>
      <c r="X9" s="17">
        <f t="shared" si="10"/>
        <v>0.34507548526240089</v>
      </c>
      <c r="Y9" s="21">
        <f>100*(LN(N9)-LN(F9))/(65-0)</f>
        <v>0.31133613652191527</v>
      </c>
      <c r="AA9" s="2">
        <f>[1]Tabelle1!B15</f>
        <v>3.2144845390012864</v>
      </c>
      <c r="AB9" s="2">
        <v>17.976236303697334</v>
      </c>
      <c r="AC9" s="2">
        <f t="shared" si="6"/>
        <v>0.40052878023855898</v>
      </c>
      <c r="AE9">
        <f t="shared" si="7"/>
        <v>545.49938408968171</v>
      </c>
      <c r="AF9">
        <f t="shared" si="8"/>
        <v>15.280094792428057</v>
      </c>
    </row>
    <row r="10" spans="1:36" x14ac:dyDescent="0.25">
      <c r="A10" s="70"/>
      <c r="B10" s="2">
        <f t="shared" si="11"/>
        <v>9</v>
      </c>
      <c r="C10" s="32">
        <v>41617</v>
      </c>
      <c r="D10" s="4">
        <v>12.5</v>
      </c>
      <c r="E10" s="4">
        <v>11</v>
      </c>
      <c r="F10" s="33">
        <v>21.6</v>
      </c>
      <c r="G10" s="32">
        <v>41645</v>
      </c>
      <c r="H10" s="4">
        <v>12.5</v>
      </c>
      <c r="I10" s="4">
        <v>11.1</v>
      </c>
      <c r="J10" s="33">
        <v>26.7</v>
      </c>
      <c r="K10" s="49">
        <v>41675</v>
      </c>
      <c r="L10" s="50">
        <v>12.6</v>
      </c>
      <c r="M10" s="50">
        <v>11.1</v>
      </c>
      <c r="N10" s="51">
        <v>26.1</v>
      </c>
      <c r="O10">
        <v>59</v>
      </c>
      <c r="P10" s="12">
        <f t="shared" si="9"/>
        <v>23.85</v>
      </c>
      <c r="R10" s="24">
        <f t="shared" si="0"/>
        <v>1.3559322033898256E-2</v>
      </c>
      <c r="S10" s="24">
        <f t="shared" si="1"/>
        <v>1.54083204930662E-2</v>
      </c>
      <c r="T10" s="17">
        <f t="shared" si="2"/>
        <v>27.83898305084746</v>
      </c>
      <c r="U10" s="24">
        <f t="shared" si="3"/>
        <v>7.6271186440677971E-2</v>
      </c>
      <c r="V10" s="17">
        <f t="shared" si="4"/>
        <v>4.5</v>
      </c>
      <c r="W10" s="1">
        <f t="shared" si="5"/>
        <v>128.88418079096044</v>
      </c>
      <c r="X10" s="17">
        <f t="shared" si="10"/>
        <v>0.35310734463276833</v>
      </c>
      <c r="Y10" s="21">
        <f>100*(LN(N10)-LN(F10))/(59-0)</f>
        <v>0.32074915192970915</v>
      </c>
      <c r="AA10" s="2">
        <f>[1]Tabelle1!B16</f>
        <v>2.5348956026339065</v>
      </c>
      <c r="AB10" s="2">
        <v>14.175797645089288</v>
      </c>
      <c r="AC10" s="2">
        <f t="shared" si="6"/>
        <v>0.31744245457389614</v>
      </c>
      <c r="AE10">
        <f t="shared" si="7"/>
        <v>375.60868607870049</v>
      </c>
      <c r="AF10">
        <f t="shared" si="8"/>
        <v>15.748791869127903</v>
      </c>
    </row>
    <row r="11" spans="1:36" x14ac:dyDescent="0.25">
      <c r="A11" s="70"/>
      <c r="B11" s="2">
        <f t="shared" si="11"/>
        <v>10</v>
      </c>
      <c r="C11" s="32">
        <v>41617</v>
      </c>
      <c r="D11" s="4">
        <v>11.1</v>
      </c>
      <c r="E11" s="4">
        <v>9.9</v>
      </c>
      <c r="F11" s="33">
        <v>14.5</v>
      </c>
      <c r="G11" s="32">
        <v>41645</v>
      </c>
      <c r="H11" s="4">
        <v>11.1</v>
      </c>
      <c r="I11" s="4">
        <v>9.9</v>
      </c>
      <c r="J11" s="33">
        <v>18.2</v>
      </c>
      <c r="K11" s="49">
        <v>41675</v>
      </c>
      <c r="L11" s="50">
        <v>11.2</v>
      </c>
      <c r="M11" s="50">
        <v>9.9</v>
      </c>
      <c r="N11" s="51">
        <v>16.899999999999999</v>
      </c>
      <c r="O11">
        <v>59</v>
      </c>
      <c r="P11" s="12">
        <f t="shared" si="9"/>
        <v>15.7</v>
      </c>
      <c r="R11" s="24">
        <f t="shared" si="0"/>
        <v>1.5269506794930469E-2</v>
      </c>
      <c r="S11" s="24">
        <f t="shared" si="1"/>
        <v>0</v>
      </c>
      <c r="T11" s="17">
        <f t="shared" si="2"/>
        <v>14.847457627118635</v>
      </c>
      <c r="U11" s="24">
        <f t="shared" si="3"/>
        <v>4.0677966101694892E-2</v>
      </c>
      <c r="V11" s="17">
        <f t="shared" si="4"/>
        <v>2.3999999999999986</v>
      </c>
      <c r="W11" s="1">
        <f t="shared" si="5"/>
        <v>102.3962594973699</v>
      </c>
      <c r="X11" s="17">
        <f t="shared" si="10"/>
        <v>0.28053769725306821</v>
      </c>
      <c r="Y11" s="21">
        <f>100*(LN(N11)-LN(F11))/(59-0)</f>
        <v>0.25960164830932003</v>
      </c>
      <c r="AA11" s="2">
        <f>[1]Tabelle1!B17</f>
        <v>1.2228644772782158</v>
      </c>
      <c r="AB11" s="2">
        <v>6.8385772413079655</v>
      </c>
      <c r="AC11" s="2">
        <f t="shared" si="6"/>
        <v>0.3509501926077489</v>
      </c>
      <c r="AE11">
        <f t="shared" si="7"/>
        <v>200.32463257530682</v>
      </c>
      <c r="AF11">
        <f t="shared" si="8"/>
        <v>12.75953073728069</v>
      </c>
    </row>
    <row r="12" spans="1:36" x14ac:dyDescent="0.25">
      <c r="A12" s="70"/>
      <c r="B12" s="2">
        <f>B11+1</f>
        <v>11</v>
      </c>
      <c r="C12" s="32">
        <v>41617</v>
      </c>
      <c r="D12" s="4"/>
      <c r="E12" s="4">
        <v>12.7</v>
      </c>
      <c r="F12" s="33">
        <v>32.4</v>
      </c>
      <c r="G12" s="32">
        <v>41645</v>
      </c>
      <c r="H12" s="5" t="s">
        <v>0</v>
      </c>
      <c r="I12" s="4">
        <v>12.7</v>
      </c>
      <c r="J12" s="33">
        <v>35.4</v>
      </c>
      <c r="K12" s="49">
        <v>41675</v>
      </c>
      <c r="L12" s="50" t="s">
        <v>0</v>
      </c>
      <c r="M12" s="50">
        <v>12.8</v>
      </c>
      <c r="N12" s="51">
        <v>35.4</v>
      </c>
      <c r="O12">
        <v>59</v>
      </c>
      <c r="P12" s="12">
        <f t="shared" si="9"/>
        <v>33.9</v>
      </c>
      <c r="S12" s="24">
        <f t="shared" si="1"/>
        <v>1.3345789403443404E-2</v>
      </c>
      <c r="T12" s="17">
        <f t="shared" si="2"/>
        <v>18.559322033898308</v>
      </c>
      <c r="U12" s="24">
        <f t="shared" si="3"/>
        <v>5.0847457627118647E-2</v>
      </c>
      <c r="V12" s="17">
        <f t="shared" si="4"/>
        <v>3</v>
      </c>
      <c r="W12" s="1">
        <f t="shared" si="5"/>
        <v>57.281858129315772</v>
      </c>
      <c r="X12" s="17">
        <f t="shared" si="10"/>
        <v>0.15693659761456377</v>
      </c>
      <c r="Y12" s="21">
        <f>100*(LN(N12)-LN(F12))/(59-0)</f>
        <v>0.15009050396855117</v>
      </c>
      <c r="AA12" s="2">
        <f>[1]Tabelle1!B18</f>
        <v>1.8442315264514197</v>
      </c>
      <c r="AB12" s="2">
        <v>10.313423914777738</v>
      </c>
      <c r="AC12" s="2">
        <f t="shared" si="6"/>
        <v>0.2908830301934362</v>
      </c>
      <c r="AE12">
        <f t="shared" si="7"/>
        <v>250.40579071913365</v>
      </c>
      <c r="AF12">
        <f t="shared" si="8"/>
        <v>7.3866014961396358</v>
      </c>
    </row>
    <row r="13" spans="1:36" s="5" customFormat="1" x14ac:dyDescent="0.25">
      <c r="A13" s="70"/>
      <c r="B13" s="3">
        <f>B12+1</f>
        <v>12</v>
      </c>
      <c r="C13" s="32">
        <v>41617</v>
      </c>
      <c r="D13" s="4">
        <v>9.4</v>
      </c>
      <c r="E13" s="4">
        <v>8.1999999999999993</v>
      </c>
      <c r="F13" s="33">
        <v>7.8</v>
      </c>
      <c r="G13" s="32">
        <v>41645</v>
      </c>
      <c r="H13" s="4">
        <v>9.6</v>
      </c>
      <c r="I13" s="4">
        <v>8.4</v>
      </c>
      <c r="J13" s="33">
        <v>9.9</v>
      </c>
      <c r="K13" s="49">
        <v>41675</v>
      </c>
      <c r="L13" s="50">
        <v>9.6999999999999993</v>
      </c>
      <c r="M13" s="50">
        <v>8.5500000000000007</v>
      </c>
      <c r="N13" s="51">
        <v>10</v>
      </c>
      <c r="O13" s="5">
        <v>59</v>
      </c>
      <c r="P13" s="12">
        <f t="shared" si="9"/>
        <v>8.9</v>
      </c>
      <c r="R13" s="24">
        <f>((L13-D13)/O13)*100/D13</f>
        <v>5.4093040028849425E-2</v>
      </c>
      <c r="S13" s="24">
        <f t="shared" si="1"/>
        <v>7.2343943778421141E-2</v>
      </c>
      <c r="T13" s="17">
        <f t="shared" si="2"/>
        <v>13.610169491525424</v>
      </c>
      <c r="U13" s="24">
        <f t="shared" si="3"/>
        <v>3.7288135593220341E-2</v>
      </c>
      <c r="V13" s="17">
        <f t="shared" si="4"/>
        <v>2.2000000000000002</v>
      </c>
      <c r="W13" s="1">
        <f t="shared" si="5"/>
        <v>174.48935245545414</v>
      </c>
      <c r="X13" s="17">
        <f t="shared" si="10"/>
        <v>0.47805302042590175</v>
      </c>
      <c r="Y13" s="21">
        <f>100*(LN(N13)-LN(F13))/(59-0)</f>
        <v>0.4211209479635587</v>
      </c>
      <c r="Z13" s="21"/>
      <c r="AA13" s="2">
        <f>[1]Tabelle1!B19</f>
        <v>0.80087078968501246</v>
      </c>
      <c r="AB13" s="2">
        <v>4.4786784286663233</v>
      </c>
      <c r="AC13" s="2">
        <f t="shared" si="6"/>
        <v>0.49121633424686934</v>
      </c>
      <c r="AD13" s="2"/>
      <c r="AE13">
        <f t="shared" si="7"/>
        <v>183.63091319403136</v>
      </c>
      <c r="AF13">
        <f t="shared" si="8"/>
        <v>20.63268687573386</v>
      </c>
    </row>
    <row r="14" spans="1:36" s="6" customFormat="1" x14ac:dyDescent="0.25">
      <c r="A14" s="70"/>
      <c r="C14" s="34" t="s">
        <v>1</v>
      </c>
      <c r="D14" s="8">
        <f>AVERAGE(D2:D13)</f>
        <v>13.809090909090907</v>
      </c>
      <c r="E14" s="8">
        <f t="shared" ref="E14:F14" si="12">AVERAGE(E2:E13)</f>
        <v>12.291666666666666</v>
      </c>
      <c r="F14" s="35">
        <f t="shared" si="12"/>
        <v>31.383333333333336</v>
      </c>
      <c r="G14" s="34"/>
      <c r="J14" s="47"/>
      <c r="K14" s="34"/>
      <c r="N14" s="47"/>
      <c r="O14" s="8"/>
      <c r="Q14" s="6" t="s">
        <v>1</v>
      </c>
      <c r="R14" s="53">
        <f>AVERAGE(R2:R13)</f>
        <v>2.1969024929939403E-2</v>
      </c>
      <c r="S14" s="53">
        <f t="shared" ref="S14:W14" si="13">AVERAGE(S2:S13)</f>
        <v>2.2101943495985335E-2</v>
      </c>
      <c r="T14" s="8">
        <f t="shared" si="13"/>
        <v>29.713055855941004</v>
      </c>
      <c r="U14" s="53">
        <f t="shared" ref="U14" si="14">AVERAGE(U2:U13)</f>
        <v>8.1405632482030157E-2</v>
      </c>
      <c r="V14" s="8"/>
      <c r="W14" s="8">
        <f t="shared" si="13"/>
        <v>101.34520144665466</v>
      </c>
      <c r="X14" s="8">
        <f t="shared" ref="X14" si="15">AVERAGE(X2:X13)</f>
        <v>0.2776580861552182</v>
      </c>
      <c r="Y14" s="22">
        <f t="shared" ref="Y14:AF14" si="16">AVERAGE(Y2:Y13)</f>
        <v>0.25359843128332193</v>
      </c>
      <c r="Z14" s="22"/>
      <c r="AA14" s="22">
        <f t="shared" si="16"/>
        <v>3.0766002412574576</v>
      </c>
      <c r="AB14" s="22"/>
      <c r="AC14" s="22">
        <f t="shared" si="16"/>
        <v>0.32239419714764611</v>
      </c>
      <c r="AD14" s="22"/>
      <c r="AE14" s="6">
        <f t="shared" si="16"/>
        <v>400.8940214895278</v>
      </c>
      <c r="AF14" s="6">
        <f t="shared" si="16"/>
        <v>12.453989500292105</v>
      </c>
    </row>
    <row r="15" spans="1:36" s="14" customFormat="1" x14ac:dyDescent="0.25">
      <c r="A15" s="70"/>
      <c r="C15" s="36"/>
      <c r="F15" s="37"/>
      <c r="G15" s="36"/>
      <c r="J15" s="37"/>
      <c r="K15" s="36"/>
      <c r="N15" s="37"/>
      <c r="O15" s="15"/>
      <c r="R15" s="54"/>
      <c r="S15" s="54"/>
      <c r="T15" s="15"/>
      <c r="U15" s="54"/>
      <c r="V15" s="15"/>
      <c r="W15" s="15"/>
      <c r="X15" s="15"/>
      <c r="Y15" s="19"/>
      <c r="Z15" s="19"/>
      <c r="AA15" s="19"/>
      <c r="AB15" s="19"/>
      <c r="AC15" s="19"/>
      <c r="AD15" s="19"/>
    </row>
    <row r="16" spans="1:36" s="14" customFormat="1" x14ac:dyDescent="0.25">
      <c r="A16" s="70"/>
      <c r="C16" s="36"/>
      <c r="F16" s="37"/>
      <c r="G16" s="36"/>
      <c r="J16" s="37"/>
      <c r="K16" s="36"/>
      <c r="N16" s="37"/>
      <c r="O16" s="19"/>
      <c r="Q16" s="16"/>
      <c r="R16" s="55"/>
      <c r="S16" s="55"/>
      <c r="T16" s="19"/>
      <c r="U16" s="55"/>
      <c r="V16" s="19"/>
      <c r="W16" s="19"/>
      <c r="X16" s="19"/>
      <c r="Y16" s="25"/>
      <c r="Z16" s="25"/>
      <c r="AA16" s="25"/>
      <c r="AB16" s="25"/>
      <c r="AC16" s="25"/>
      <c r="AD16" s="25"/>
    </row>
    <row r="17" spans="1:32" s="7" customFormat="1" ht="15.75" thickBot="1" x14ac:dyDescent="0.3">
      <c r="A17" s="71"/>
      <c r="C17" s="38"/>
      <c r="F17" s="39"/>
      <c r="G17" s="38"/>
      <c r="J17" s="39"/>
      <c r="K17" s="38"/>
      <c r="N17" s="39"/>
      <c r="O17" s="20"/>
      <c r="Q17" s="10"/>
      <c r="R17" s="56"/>
      <c r="S17" s="56"/>
      <c r="T17" s="20"/>
      <c r="U17" s="56"/>
      <c r="V17" s="20"/>
      <c r="W17" s="20"/>
      <c r="X17" s="20"/>
      <c r="Y17" s="20"/>
      <c r="Z17" s="20"/>
      <c r="AA17" s="10"/>
      <c r="AB17" s="10"/>
      <c r="AC17" s="10"/>
      <c r="AD17" s="10"/>
    </row>
    <row r="18" spans="1:32" x14ac:dyDescent="0.25">
      <c r="A18" s="72">
        <v>2</v>
      </c>
      <c r="B18" s="2">
        <f>B13+1</f>
        <v>13</v>
      </c>
      <c r="C18" s="32">
        <v>41617</v>
      </c>
      <c r="D18" s="4">
        <v>13.6</v>
      </c>
      <c r="E18" s="4">
        <v>12</v>
      </c>
      <c r="F18" s="33">
        <v>25.9</v>
      </c>
      <c r="G18" s="32">
        <v>41652</v>
      </c>
      <c r="H18" s="4">
        <v>13.6</v>
      </c>
      <c r="I18" s="4">
        <v>12.1</v>
      </c>
      <c r="J18" s="33">
        <v>28.3</v>
      </c>
      <c r="K18" s="49">
        <v>41681</v>
      </c>
      <c r="L18" s="50">
        <v>13.65</v>
      </c>
      <c r="M18" s="50">
        <v>12.1</v>
      </c>
      <c r="N18" s="51">
        <v>27.6</v>
      </c>
      <c r="O18">
        <v>65</v>
      </c>
      <c r="P18">
        <f t="shared" ref="P18:P28" si="17">AVERAGE(F18,N18)</f>
        <v>26.75</v>
      </c>
      <c r="R18" s="24">
        <f>((L18-D18)/O18)*100/D18</f>
        <v>5.6561085972851493E-3</v>
      </c>
      <c r="S18" s="24">
        <f>((M18-E18)/O18)*100/E18</f>
        <v>1.2820512820512775E-2</v>
      </c>
      <c r="T18" s="1">
        <f>((N18-F18)/O18)*365</f>
        <v>9.546153846153862</v>
      </c>
      <c r="U18" s="24">
        <f>(N18-F18)/O18</f>
        <v>2.6153846153846198E-2</v>
      </c>
      <c r="V18" s="17">
        <f>N18-F18</f>
        <v>1.7000000000000028</v>
      </c>
      <c r="W18" s="1">
        <f>T18*100/F18</f>
        <v>36.857736857736924</v>
      </c>
      <c r="X18" s="17">
        <f t="shared" ref="X18:X25" si="18">W18/365</f>
        <v>0.10098010098010116</v>
      </c>
      <c r="Y18" s="21">
        <f>100*(LN(N18)-LN(F18))/(65-0)</f>
        <v>9.7804313873250268E-2</v>
      </c>
      <c r="AA18" s="2">
        <f>[1]Tabelle1!E8</f>
        <v>1.255244415555145</v>
      </c>
      <c r="AB18" s="2">
        <v>7.0196543051118123</v>
      </c>
      <c r="AC18" s="2">
        <f>V18/AB18</f>
        <v>0.24217716800698272</v>
      </c>
      <c r="AE18">
        <f>(((N18-F18)*$AI$3/O18))/$AJ$3</f>
        <v>126.02028958335613</v>
      </c>
      <c r="AF18">
        <f>AE18/P18</f>
        <v>4.7110388629292013</v>
      </c>
    </row>
    <row r="19" spans="1:32" x14ac:dyDescent="0.25">
      <c r="A19" s="70"/>
      <c r="B19" s="2">
        <f t="shared" si="11"/>
        <v>14</v>
      </c>
      <c r="C19" s="32">
        <v>41617</v>
      </c>
      <c r="D19" s="4">
        <v>15</v>
      </c>
      <c r="E19" s="4">
        <v>13.3</v>
      </c>
      <c r="F19" s="33">
        <v>41.1</v>
      </c>
      <c r="G19" s="32">
        <v>41652</v>
      </c>
      <c r="H19" s="4">
        <v>15</v>
      </c>
      <c r="I19" s="4">
        <v>13.35</v>
      </c>
      <c r="J19" s="33">
        <v>39.1</v>
      </c>
      <c r="K19" s="49">
        <v>41681</v>
      </c>
      <c r="L19" s="50">
        <v>15</v>
      </c>
      <c r="M19" s="50">
        <v>13.4</v>
      </c>
      <c r="N19" s="51">
        <v>40.299999999999997</v>
      </c>
      <c r="O19">
        <v>65</v>
      </c>
      <c r="P19">
        <f t="shared" si="17"/>
        <v>40.700000000000003</v>
      </c>
      <c r="R19" s="24">
        <f>((L19-D19)/O19)*100/D19</f>
        <v>0</v>
      </c>
      <c r="S19" s="24">
        <f>((M19-E19)/O19)*100/E19</f>
        <v>1.1567379988432578E-2</v>
      </c>
      <c r="T19" s="17">
        <f>((N19-F19)/O19)*365</f>
        <v>-4.4923076923077163</v>
      </c>
      <c r="U19" s="24">
        <f>(N19-F19)/O19</f>
        <v>-1.2307692307692374E-2</v>
      </c>
      <c r="V19" s="17">
        <f>N19-F19</f>
        <v>-0.80000000000000426</v>
      </c>
      <c r="W19" s="17">
        <f>T19*100/F19</f>
        <v>-10.930189032378872</v>
      </c>
      <c r="X19" s="17">
        <f t="shared" ref="X19" si="19">W19/365</f>
        <v>-2.9945723376380469E-2</v>
      </c>
      <c r="Y19" s="21">
        <f>100*(LN(N19)-LN(F19))/(65-0)</f>
        <v>-3.0241003922387797E-2</v>
      </c>
      <c r="AA19" s="2">
        <f>[1]Tabelle1!E9</f>
        <v>0.25029601360611548</v>
      </c>
      <c r="AB19" s="2">
        <v>1.3997206183032054</v>
      </c>
      <c r="AC19" s="2">
        <f>V19/AB19</f>
        <v>-0.57154262753505392</v>
      </c>
      <c r="AE19">
        <f>(((N19-F19)*$AI$3/O19))/$AJ$3</f>
        <v>-59.303665686285463</v>
      </c>
      <c r="AF19">
        <f>AE19/P19</f>
        <v>-1.4570925230045568</v>
      </c>
    </row>
    <row r="20" spans="1:32" x14ac:dyDescent="0.25">
      <c r="A20" s="70"/>
      <c r="B20" s="2">
        <f t="shared" si="11"/>
        <v>15</v>
      </c>
      <c r="C20" s="32">
        <v>41617</v>
      </c>
      <c r="D20" s="4">
        <v>14.7</v>
      </c>
      <c r="E20" s="4">
        <v>13.1</v>
      </c>
      <c r="F20" s="33">
        <v>36.700000000000003</v>
      </c>
      <c r="G20" s="32">
        <v>41652</v>
      </c>
      <c r="H20" s="4">
        <v>14.8</v>
      </c>
      <c r="I20" s="4">
        <v>13.15</v>
      </c>
      <c r="J20" s="33">
        <v>38.299999999999997</v>
      </c>
      <c r="K20" s="49">
        <v>41681</v>
      </c>
      <c r="L20" s="50">
        <v>14.8</v>
      </c>
      <c r="M20" s="50">
        <v>13.2</v>
      </c>
      <c r="N20" s="51">
        <v>39.6</v>
      </c>
      <c r="O20">
        <v>65</v>
      </c>
      <c r="P20">
        <f t="shared" si="17"/>
        <v>38.150000000000006</v>
      </c>
      <c r="R20" s="24">
        <f>((L20-D20)/O20)*100/D20</f>
        <v>1.0465724751439188E-2</v>
      </c>
      <c r="S20" s="24">
        <f>((M20-E20)/O20)*100/E20</f>
        <v>1.1743981209630024E-2</v>
      </c>
      <c r="T20" s="17">
        <f>((N20-F20)/O20)*365</f>
        <v>16.284615384615375</v>
      </c>
      <c r="U20" s="24">
        <f>(N20-F20)/O20</f>
        <v>4.4615384615384591E-2</v>
      </c>
      <c r="V20" s="17">
        <f>N20-F20</f>
        <v>2.8999999999999986</v>
      </c>
      <c r="W20" s="1">
        <f>T20*100/F20</f>
        <v>44.37224900440156</v>
      </c>
      <c r="X20" s="17">
        <f t="shared" si="18"/>
        <v>0.12156780549151112</v>
      </c>
      <c r="Y20" s="21">
        <f>100*(LN(N20)-LN(F20))/(65-0)</f>
        <v>0.11700363569216912</v>
      </c>
      <c r="AA20" s="2">
        <f>[1]Tabelle1!E10</f>
        <v>2.0300816442221592</v>
      </c>
      <c r="AB20" s="2">
        <v>11.352746267578594</v>
      </c>
      <c r="AC20" s="2">
        <f>V20/AB20</f>
        <v>0.25544480002005138</v>
      </c>
      <c r="AE20">
        <f>(((N20-F20)*$AI$3/O20))/$AJ$3</f>
        <v>214.97578811278353</v>
      </c>
      <c r="AF20">
        <f>AE20/P20</f>
        <v>5.6350141051843643</v>
      </c>
    </row>
    <row r="21" spans="1:32" x14ac:dyDescent="0.25">
      <c r="A21" s="70"/>
      <c r="B21" s="2">
        <f t="shared" si="11"/>
        <v>16</v>
      </c>
      <c r="C21" s="32">
        <v>41619</v>
      </c>
      <c r="D21" s="4">
        <v>15.7</v>
      </c>
      <c r="E21" s="4">
        <v>13.8</v>
      </c>
      <c r="F21" s="33">
        <v>46.3</v>
      </c>
      <c r="G21" s="32">
        <v>41652</v>
      </c>
      <c r="H21" s="4">
        <v>15.65</v>
      </c>
      <c r="I21" s="4">
        <v>13.9</v>
      </c>
      <c r="J21" s="33">
        <v>47.4</v>
      </c>
      <c r="K21" s="49">
        <v>41681</v>
      </c>
      <c r="L21" s="50">
        <v>15.75</v>
      </c>
      <c r="M21" s="50">
        <v>13.9</v>
      </c>
      <c r="N21" s="51">
        <v>48</v>
      </c>
      <c r="O21">
        <v>63</v>
      </c>
      <c r="P21">
        <f t="shared" si="17"/>
        <v>47.15</v>
      </c>
      <c r="R21" s="24">
        <f>((L21-D21)/O21)*100/D21</f>
        <v>5.0551005965019432E-3</v>
      </c>
      <c r="S21" s="24">
        <f>((M21-E21)/O21)*100/E21</f>
        <v>1.1502185415228853E-2</v>
      </c>
      <c r="T21" s="17">
        <f>((N21-F21)/O21)*365</f>
        <v>9.8492063492063657</v>
      </c>
      <c r="U21" s="24">
        <f>(N21-F21)/O21</f>
        <v>2.6984126984127031E-2</v>
      </c>
      <c r="V21" s="17">
        <f>N21-F21</f>
        <v>1.7000000000000028</v>
      </c>
      <c r="W21" s="1">
        <f>T21*100/F21</f>
        <v>21.272583907573143</v>
      </c>
      <c r="X21" s="17">
        <f t="shared" si="18"/>
        <v>5.8281051801570255E-2</v>
      </c>
      <c r="Y21" s="21">
        <f>100*(LN(N21)-LN(F21))/(63-0)</f>
        <v>5.7236587009052313E-2</v>
      </c>
      <c r="AA21" s="2">
        <f>[1]Tabelle1!E11</f>
        <v>2.2189018212561304</v>
      </c>
      <c r="AB21" s="2">
        <v>12.408677966762689</v>
      </c>
      <c r="AC21" s="2">
        <f>V21/AB21</f>
        <v>0.13700089603046708</v>
      </c>
      <c r="AE21">
        <f>(((N21-F21)*$AI$3/O21))/$AJ$3</f>
        <v>130.02093369711349</v>
      </c>
      <c r="AF21">
        <f>AE21/P21</f>
        <v>2.7576019872134356</v>
      </c>
    </row>
    <row r="22" spans="1:32" x14ac:dyDescent="0.25">
      <c r="A22" s="70"/>
      <c r="B22" s="2">
        <f t="shared" si="11"/>
        <v>17</v>
      </c>
      <c r="C22" s="32">
        <v>41619</v>
      </c>
      <c r="D22" s="4">
        <v>15.8</v>
      </c>
      <c r="E22" s="4">
        <v>14.1</v>
      </c>
      <c r="F22" s="33">
        <v>46.5</v>
      </c>
      <c r="G22" s="32">
        <v>41652</v>
      </c>
      <c r="H22" s="4">
        <v>15.7</v>
      </c>
      <c r="I22" s="4">
        <v>13.9</v>
      </c>
      <c r="J22" s="33">
        <v>46</v>
      </c>
      <c r="K22" s="49">
        <v>41683</v>
      </c>
      <c r="L22" s="50">
        <v>16.100000000000001</v>
      </c>
      <c r="M22" s="50">
        <v>14.2</v>
      </c>
      <c r="N22" s="51">
        <v>54.5</v>
      </c>
      <c r="O22">
        <v>65</v>
      </c>
      <c r="P22" s="17">
        <f>AVERAGE(F22,N22)</f>
        <v>50.5</v>
      </c>
      <c r="R22" s="24">
        <f>((L22-D22)/O22)*100/D22</f>
        <v>2.9211295034079911E-2</v>
      </c>
      <c r="S22" s="24">
        <f>((M22-E22)/O22)*100/E22</f>
        <v>1.0911074740861936E-2</v>
      </c>
      <c r="T22" s="17">
        <f>((N22-F22)/O22)*365</f>
        <v>44.923076923076927</v>
      </c>
      <c r="U22" s="24">
        <f>(N22-F22)/O22</f>
        <v>0.12307692307692308</v>
      </c>
      <c r="V22" s="17">
        <f>N22-F22</f>
        <v>8</v>
      </c>
      <c r="W22" s="1">
        <f>T22*100/F22</f>
        <v>96.608767576509507</v>
      </c>
      <c r="X22" s="17">
        <f t="shared" si="18"/>
        <v>0.26468155500413565</v>
      </c>
      <c r="Y22" s="21">
        <f>100*(LN(N22)-LN(F22))/(65-0)</f>
        <v>0.24422829088598164</v>
      </c>
      <c r="AA22" s="2">
        <f>[1]Tabelle1!E12</f>
        <v>3.0279029184286457</v>
      </c>
      <c r="AB22" s="2">
        <v>16.93282319635582</v>
      </c>
      <c r="AC22" s="2">
        <f>V22/AB22</f>
        <v>0.47245517816082272</v>
      </c>
      <c r="AE22">
        <f>(((N22-F22)*$AI$3/O22))/$AJ$3</f>
        <v>593.03665686285137</v>
      </c>
      <c r="AF22">
        <f>AE22/P22</f>
        <v>11.743300135898046</v>
      </c>
    </row>
    <row r="23" spans="1:32" x14ac:dyDescent="0.25">
      <c r="A23" s="70"/>
      <c r="B23" s="2">
        <f t="shared" si="11"/>
        <v>18</v>
      </c>
      <c r="C23" s="32">
        <v>41619</v>
      </c>
      <c r="D23" s="4">
        <v>14.3</v>
      </c>
      <c r="E23" s="4">
        <v>12.6</v>
      </c>
      <c r="F23" s="33">
        <v>31</v>
      </c>
      <c r="G23" s="32">
        <v>41652</v>
      </c>
      <c r="H23" s="5"/>
      <c r="I23" s="5"/>
      <c r="J23" s="46"/>
      <c r="K23" s="49"/>
      <c r="L23" s="50"/>
      <c r="M23" s="50"/>
      <c r="N23" s="51"/>
      <c r="T23" s="17"/>
      <c r="U23" s="24"/>
      <c r="AA23" s="2">
        <f>[1]Tabelle1!E13</f>
        <v>1.0183184215220544</v>
      </c>
      <c r="AB23" s="2">
        <v>5.6947023249257542</v>
      </c>
    </row>
    <row r="24" spans="1:32" x14ac:dyDescent="0.25">
      <c r="A24" s="70"/>
      <c r="B24" s="2">
        <f t="shared" si="11"/>
        <v>19</v>
      </c>
      <c r="C24" s="32">
        <v>41621</v>
      </c>
      <c r="D24" s="4">
        <v>13</v>
      </c>
      <c r="E24" s="4">
        <v>11.5</v>
      </c>
      <c r="F24" s="33">
        <v>23.4</v>
      </c>
      <c r="G24" s="32">
        <v>41652</v>
      </c>
      <c r="H24" s="4">
        <v>13</v>
      </c>
      <c r="I24" s="4">
        <v>11.5</v>
      </c>
      <c r="J24" s="33">
        <v>21.3</v>
      </c>
      <c r="K24" s="49"/>
      <c r="L24" s="50"/>
      <c r="M24" s="50"/>
      <c r="N24" s="51"/>
      <c r="T24" s="17"/>
      <c r="U24" s="24"/>
      <c r="AA24" s="2">
        <f>[1]Tabelle1!E14</f>
        <v>0.76579783773085042</v>
      </c>
      <c r="AB24" s="2">
        <v>4.282541329686179</v>
      </c>
    </row>
    <row r="25" spans="1:32" x14ac:dyDescent="0.25">
      <c r="A25" s="70"/>
      <c r="B25" s="2">
        <f t="shared" si="11"/>
        <v>20</v>
      </c>
      <c r="C25" s="32">
        <v>41621</v>
      </c>
      <c r="D25" s="4">
        <v>13.7</v>
      </c>
      <c r="E25" s="4">
        <v>12.2</v>
      </c>
      <c r="F25" s="33">
        <v>25.6</v>
      </c>
      <c r="G25" s="32">
        <v>41652</v>
      </c>
      <c r="H25" s="4">
        <v>13.85</v>
      </c>
      <c r="I25" s="4">
        <v>12.3</v>
      </c>
      <c r="J25" s="33">
        <v>26.8</v>
      </c>
      <c r="K25" s="49">
        <v>41683</v>
      </c>
      <c r="L25" s="50">
        <v>14</v>
      </c>
      <c r="M25" s="50">
        <v>12.5</v>
      </c>
      <c r="N25" s="51">
        <v>27.2</v>
      </c>
      <c r="O25">
        <v>63</v>
      </c>
      <c r="P25">
        <f t="shared" si="17"/>
        <v>26.4</v>
      </c>
      <c r="R25" s="24">
        <f>((L25-D25)/O25)*100/D25</f>
        <v>3.475842891901295E-2</v>
      </c>
      <c r="S25" s="24">
        <f>((M25-E25)/O25)*100/E25</f>
        <v>3.9032006245121098E-2</v>
      </c>
      <c r="T25" s="17">
        <f>((N25-F25)/O25)*365</f>
        <v>9.2698412698412564</v>
      </c>
      <c r="U25" s="24">
        <f>(N25-F25)/O25</f>
        <v>2.5396825396825362E-2</v>
      </c>
      <c r="V25" s="17">
        <f>N25-F25</f>
        <v>1.5999999999999979</v>
      </c>
      <c r="W25" s="1">
        <f>T25*100/F25</f>
        <v>36.210317460317405</v>
      </c>
      <c r="X25" s="17">
        <f t="shared" si="18"/>
        <v>9.9206349206349062E-2</v>
      </c>
      <c r="Y25" s="21">
        <f>100*(LN(N25)-LN(F25))/(63-0)</f>
        <v>9.6229558438785043E-2</v>
      </c>
      <c r="AA25" s="2">
        <f>[1]Tabelle1!E15</f>
        <v>1.9408171281764799</v>
      </c>
      <c r="AB25" s="2">
        <v>10.853555801890163</v>
      </c>
      <c r="AC25" s="2">
        <f>V25/AB25</f>
        <v>0.14741712570560106</v>
      </c>
      <c r="AE25">
        <f>(((N25-F25)*$AI$3/O25))/$AJ$3</f>
        <v>122.37264347963584</v>
      </c>
      <c r="AF25">
        <f>AE25/P25</f>
        <v>4.6353274045316608</v>
      </c>
    </row>
    <row r="26" spans="1:32" x14ac:dyDescent="0.25">
      <c r="A26" s="70"/>
      <c r="B26" s="2">
        <f t="shared" si="11"/>
        <v>21</v>
      </c>
      <c r="C26" s="32">
        <v>41625</v>
      </c>
      <c r="D26" s="4">
        <v>12</v>
      </c>
      <c r="E26" s="4">
        <v>10.6</v>
      </c>
      <c r="F26" s="33">
        <v>18.5</v>
      </c>
      <c r="G26" s="32">
        <v>41652</v>
      </c>
      <c r="H26" s="4">
        <v>12.05</v>
      </c>
      <c r="I26" s="4">
        <v>10.6</v>
      </c>
      <c r="J26" s="33">
        <v>16.899999999999999</v>
      </c>
      <c r="K26" s="49">
        <v>41683</v>
      </c>
      <c r="L26" s="50">
        <v>12</v>
      </c>
      <c r="M26" s="50">
        <v>10.6</v>
      </c>
      <c r="N26" s="51">
        <v>15.9</v>
      </c>
      <c r="O26">
        <v>59</v>
      </c>
      <c r="P26">
        <f t="shared" si="17"/>
        <v>17.2</v>
      </c>
      <c r="R26" s="24">
        <f>((L26-D26)/O26)*100/D26</f>
        <v>0</v>
      </c>
      <c r="S26" s="24">
        <f>((M26-E26)/O26)*100/E26</f>
        <v>0</v>
      </c>
      <c r="T26" s="17">
        <f>((N26-F26)/O26)*365</f>
        <v>-16.084745762711862</v>
      </c>
      <c r="U26" s="24">
        <f>(N26-F26)/O26</f>
        <v>-4.4067796610169484E-2</v>
      </c>
      <c r="V26" s="17">
        <f>N26-F26</f>
        <v>-2.5999999999999996</v>
      </c>
      <c r="W26" s="17">
        <f>T26*100/F26</f>
        <v>-86.944571690334385</v>
      </c>
      <c r="X26" s="17">
        <f t="shared" ref="X26:X28" si="20">W26/365</f>
        <v>-0.23820430600091613</v>
      </c>
      <c r="Y26" s="21">
        <f>100*(LN(N26)-LN(F26))/(63-0)</f>
        <v>-0.24039940136205221</v>
      </c>
      <c r="AA26" s="2">
        <f>[1]Tabelle1!E16</f>
        <v>0.54759082712048568</v>
      </c>
      <c r="AB26" s="2">
        <v>3.0622707891801704</v>
      </c>
      <c r="AC26" s="2">
        <f>V26/AB26</f>
        <v>-0.84904313791794694</v>
      </c>
      <c r="AE26">
        <f>(((N26-F26)*$AI$3/O26))/$AJ$3</f>
        <v>-212.33727756318194</v>
      </c>
      <c r="AF26">
        <f>AE26/P26</f>
        <v>-12.345190555998951</v>
      </c>
    </row>
    <row r="27" spans="1:32" x14ac:dyDescent="0.25">
      <c r="A27" s="70"/>
      <c r="B27" s="2">
        <f t="shared" si="11"/>
        <v>22</v>
      </c>
      <c r="C27" s="32">
        <v>41625</v>
      </c>
      <c r="D27" s="4">
        <v>11.8</v>
      </c>
      <c r="E27" s="4">
        <v>10.4</v>
      </c>
      <c r="F27" s="33">
        <v>17.100000000000001</v>
      </c>
      <c r="G27" s="32">
        <v>41652</v>
      </c>
      <c r="H27" s="5"/>
      <c r="I27" s="5"/>
      <c r="J27" s="46"/>
      <c r="K27" s="49"/>
      <c r="L27" s="50"/>
      <c r="M27" s="50"/>
      <c r="N27" s="51"/>
      <c r="T27" s="17"/>
      <c r="U27" s="24"/>
      <c r="W27" s="17"/>
      <c r="AA27" s="2">
        <f>[1]Tabelle1!E17</f>
        <v>0.6520473592628796</v>
      </c>
      <c r="AB27" s="2">
        <v>3.6464189729632617</v>
      </c>
    </row>
    <row r="28" spans="1:32" x14ac:dyDescent="0.25">
      <c r="A28" s="70"/>
      <c r="B28" s="2">
        <f>B27+1</f>
        <v>23</v>
      </c>
      <c r="C28" s="32">
        <v>41625</v>
      </c>
      <c r="D28" s="4">
        <v>10.3</v>
      </c>
      <c r="E28" s="4">
        <v>9</v>
      </c>
      <c r="F28" s="33">
        <v>9.9</v>
      </c>
      <c r="G28" s="32">
        <v>41652</v>
      </c>
      <c r="H28" s="4">
        <v>10.3</v>
      </c>
      <c r="I28" s="4">
        <v>9</v>
      </c>
      <c r="J28" s="33">
        <v>9.8000000000000007</v>
      </c>
      <c r="K28" s="49">
        <v>41683</v>
      </c>
      <c r="L28" s="50">
        <v>10.3</v>
      </c>
      <c r="M28" s="50">
        <v>9</v>
      </c>
      <c r="N28" s="51">
        <v>9.8000000000000007</v>
      </c>
      <c r="O28">
        <v>59</v>
      </c>
      <c r="P28">
        <f t="shared" si="17"/>
        <v>9.8500000000000014</v>
      </c>
      <c r="R28" s="24">
        <f>((L28-D28)/O28)*100/D28</f>
        <v>0</v>
      </c>
      <c r="S28" s="24">
        <f>((M28-E28)/O28)*100/E28</f>
        <v>0</v>
      </c>
      <c r="T28" s="17">
        <f>((N28-F28)/O28)*365</f>
        <v>-0.61864406779660797</v>
      </c>
      <c r="U28" s="24">
        <f>(N28-F28)/O28</f>
        <v>-1.694915254237282E-3</v>
      </c>
      <c r="V28" s="17">
        <f>N28-F28</f>
        <v>-9.9999999999999645E-2</v>
      </c>
      <c r="W28" s="17">
        <f>T28*100/F28</f>
        <v>-6.248929977743515</v>
      </c>
      <c r="X28" s="17">
        <f t="shared" si="20"/>
        <v>-1.712035610340689E-2</v>
      </c>
      <c r="Y28" s="21">
        <f>100*(LN(N28)-LN(F28))/(63-0)</f>
        <v>-1.6114875339710996E-2</v>
      </c>
      <c r="AA28" s="2">
        <f>[1]Tabelle1!E18</f>
        <v>0.86827299482926712</v>
      </c>
      <c r="AB28" s="2">
        <v>4.8556091472193676</v>
      </c>
      <c r="AC28" s="2">
        <f>V28/AB28</f>
        <v>-2.0594738367124554E-2</v>
      </c>
      <c r="AE28">
        <f>(((N28-F28)*$AI$3/O28))/$AJ$3</f>
        <v>-8.1668183678146615</v>
      </c>
      <c r="AF28">
        <f>AE28/P28</f>
        <v>-0.82911861602179293</v>
      </c>
    </row>
    <row r="29" spans="1:32" x14ac:dyDescent="0.25">
      <c r="A29" s="70"/>
      <c r="B29" s="3">
        <f>B28+1</f>
        <v>24</v>
      </c>
      <c r="C29" s="32">
        <v>41625</v>
      </c>
      <c r="D29" s="4">
        <v>7.9</v>
      </c>
      <c r="E29" s="4">
        <v>6.9</v>
      </c>
      <c r="F29" s="33">
        <v>4.3</v>
      </c>
      <c r="G29" s="32">
        <v>41652</v>
      </c>
      <c r="H29" s="5"/>
      <c r="I29" s="5"/>
      <c r="J29" s="46"/>
      <c r="K29" s="49"/>
      <c r="L29" s="50"/>
      <c r="M29" s="50"/>
      <c r="N29" s="51"/>
      <c r="T29" s="17"/>
      <c r="U29" s="24"/>
      <c r="AA29" s="2">
        <f>[1]Tabelle1!E19</f>
        <v>0.10173497983561645</v>
      </c>
      <c r="AB29" s="2">
        <v>0.56892855314374025</v>
      </c>
    </row>
    <row r="30" spans="1:32" s="6" customFormat="1" x14ac:dyDescent="0.25">
      <c r="A30" s="70"/>
      <c r="C30" s="34" t="s">
        <v>1</v>
      </c>
      <c r="D30" s="8">
        <f>AVERAGE(D18:D29)</f>
        <v>13.15</v>
      </c>
      <c r="E30" s="8">
        <f t="shared" ref="E30:F30" si="21">AVERAGE(E18:E29)</f>
        <v>11.625</v>
      </c>
      <c r="F30" s="35">
        <f t="shared" si="21"/>
        <v>27.191666666666666</v>
      </c>
      <c r="G30" s="34"/>
      <c r="J30" s="47"/>
      <c r="K30" s="34"/>
      <c r="N30" s="47"/>
      <c r="Q30" s="6" t="s">
        <v>1</v>
      </c>
      <c r="R30" s="53">
        <f>AVERAGE(R18:R29)</f>
        <v>1.0643332237289893E-2</v>
      </c>
      <c r="S30" s="53">
        <f t="shared" ref="S30:W30" si="22">AVERAGE(S18:S29)</f>
        <v>1.2197142552473408E-2</v>
      </c>
      <c r="T30" s="8">
        <f t="shared" si="22"/>
        <v>8.5846495312597</v>
      </c>
      <c r="U30" s="53">
        <f t="shared" ref="U30" si="23">AVERAGE(U18:U29)</f>
        <v>2.351958775687589E-2</v>
      </c>
      <c r="V30" s="8"/>
      <c r="W30" s="8">
        <f t="shared" si="22"/>
        <v>16.399745513260221</v>
      </c>
      <c r="X30" s="8">
        <f t="shared" ref="X30" si="24">AVERAGE(X18:X29)</f>
        <v>4.4930809625370466E-2</v>
      </c>
      <c r="Y30" s="22">
        <f t="shared" ref="Y30:AF30" si="25">AVERAGE(Y18:Y29)</f>
        <v>4.0718388159385929E-2</v>
      </c>
      <c r="Z30" s="22"/>
      <c r="AA30" s="22">
        <f t="shared" si="25"/>
        <v>1.2230838634621524</v>
      </c>
      <c r="AB30" s="22"/>
      <c r="AC30" s="22">
        <f t="shared" si="25"/>
        <v>-2.333566698702505E-2</v>
      </c>
      <c r="AD30" s="22"/>
      <c r="AE30" s="6">
        <f t="shared" si="25"/>
        <v>113.32731876480729</v>
      </c>
      <c r="AF30" s="6">
        <f t="shared" si="25"/>
        <v>1.856360100091426</v>
      </c>
    </row>
    <row r="31" spans="1:32" s="14" customFormat="1" x14ac:dyDescent="0.25">
      <c r="A31" s="70"/>
      <c r="C31" s="36"/>
      <c r="D31" s="15"/>
      <c r="E31" s="15"/>
      <c r="F31" s="40"/>
      <c r="G31" s="36"/>
      <c r="J31" s="37"/>
      <c r="K31" s="36"/>
      <c r="N31" s="37"/>
      <c r="R31" s="54"/>
      <c r="S31" s="54"/>
      <c r="T31" s="15"/>
      <c r="U31" s="54"/>
      <c r="V31" s="15"/>
      <c r="W31" s="15"/>
      <c r="X31" s="15"/>
      <c r="Y31" s="19"/>
      <c r="Z31" s="19"/>
      <c r="AA31" s="19"/>
      <c r="AB31" s="19"/>
      <c r="AC31" s="19"/>
      <c r="AD31" s="19"/>
    </row>
    <row r="32" spans="1:32" s="14" customFormat="1" x14ac:dyDescent="0.25">
      <c r="A32" s="70"/>
      <c r="C32" s="36"/>
      <c r="D32" s="15"/>
      <c r="E32" s="15"/>
      <c r="F32" s="40"/>
      <c r="G32" s="36"/>
      <c r="J32" s="37"/>
      <c r="K32" s="36"/>
      <c r="N32" s="37"/>
      <c r="Q32" s="16"/>
      <c r="R32" s="55"/>
      <c r="S32" s="55"/>
      <c r="T32" s="19"/>
      <c r="U32" s="55"/>
      <c r="V32" s="19"/>
      <c r="W32" s="19"/>
      <c r="X32" s="19"/>
      <c r="Y32" s="21"/>
      <c r="Z32" s="21"/>
      <c r="AA32" s="16"/>
      <c r="AB32" s="16"/>
      <c r="AC32" s="16"/>
      <c r="AD32" s="16"/>
    </row>
    <row r="33" spans="1:32" s="7" customFormat="1" ht="15.75" thickBot="1" x14ac:dyDescent="0.3">
      <c r="A33" s="71"/>
      <c r="C33" s="38"/>
      <c r="D33" s="11"/>
      <c r="E33" s="11"/>
      <c r="F33" s="41"/>
      <c r="G33" s="38"/>
      <c r="J33" s="39"/>
      <c r="K33" s="38"/>
      <c r="N33" s="39"/>
      <c r="Q33" s="10"/>
      <c r="R33" s="56"/>
      <c r="S33" s="56"/>
      <c r="T33" s="20"/>
      <c r="U33" s="56"/>
      <c r="V33" s="20"/>
      <c r="W33" s="20"/>
      <c r="X33" s="20"/>
      <c r="Y33" s="23"/>
      <c r="Z33" s="23"/>
      <c r="AA33" s="10"/>
      <c r="AB33" s="10"/>
      <c r="AC33" s="10"/>
      <c r="AD33" s="10"/>
    </row>
    <row r="34" spans="1:32" x14ac:dyDescent="0.25">
      <c r="A34" s="70">
        <v>4</v>
      </c>
      <c r="B34" s="2">
        <f>B29+1</f>
        <v>25</v>
      </c>
      <c r="C34" s="32">
        <v>41607</v>
      </c>
      <c r="D34" s="4">
        <v>17</v>
      </c>
      <c r="E34" s="4">
        <v>15.1</v>
      </c>
      <c r="F34" s="33">
        <v>58.7</v>
      </c>
      <c r="G34" s="32">
        <v>41646</v>
      </c>
      <c r="H34" s="4">
        <v>17.100000000000001</v>
      </c>
      <c r="I34" s="4">
        <v>15.2</v>
      </c>
      <c r="J34" s="33">
        <v>61</v>
      </c>
      <c r="K34" s="49">
        <v>41675</v>
      </c>
      <c r="L34" s="50">
        <v>17</v>
      </c>
      <c r="M34" s="50">
        <v>15.15</v>
      </c>
      <c r="N34" s="51">
        <v>57.7</v>
      </c>
      <c r="O34">
        <v>69</v>
      </c>
      <c r="P34">
        <f t="shared" ref="P34:P45" si="26">AVERAGE(F34,N34)</f>
        <v>58.2</v>
      </c>
      <c r="R34" s="24">
        <f>((L34-D34)/O34)*100/D34</f>
        <v>0</v>
      </c>
      <c r="S34" s="24">
        <f>((M34-E34)/O34)*100/E34</f>
        <v>4.7989250407909313E-3</v>
      </c>
      <c r="T34" s="1">
        <f>((N34-F34)/O34)*365</f>
        <v>-5.2898550724637685</v>
      </c>
      <c r="U34" s="24">
        <f>(N34-F34)/O34</f>
        <v>-1.4492753623188406E-2</v>
      </c>
      <c r="V34" s="17">
        <f>N34-F34</f>
        <v>-1</v>
      </c>
      <c r="W34" s="17">
        <f>T34*100/F34</f>
        <v>-9.0116781472977312</v>
      </c>
      <c r="X34" s="17">
        <f t="shared" ref="X34" si="27">W34/365</f>
        <v>-2.4689529170678716E-2</v>
      </c>
      <c r="Y34" s="21">
        <f>100*(LN(N34)-LN(F34))/(69-0)</f>
        <v>-2.4902251188401395E-2</v>
      </c>
      <c r="AA34" s="2">
        <f>[1]Tabelle1!H8</f>
        <v>4.0295786987796438</v>
      </c>
      <c r="AB34" s="2">
        <v>22.534455529256817</v>
      </c>
      <c r="AC34" s="2">
        <f>V34/AB34</f>
        <v>-4.4376488204992799E-2</v>
      </c>
      <c r="AE34">
        <f>(((N34-F34)*$AI$4/O34))/$AJ$4</f>
        <v>-70.231014987035678</v>
      </c>
      <c r="AF34">
        <f>AE34/P34</f>
        <v>-1.2067184705676233</v>
      </c>
    </row>
    <row r="35" spans="1:32" x14ac:dyDescent="0.25">
      <c r="A35" s="70"/>
      <c r="B35" s="2">
        <f t="shared" si="11"/>
        <v>26</v>
      </c>
      <c r="C35" s="32">
        <v>41607</v>
      </c>
      <c r="D35" s="4">
        <v>12.9</v>
      </c>
      <c r="E35" s="4">
        <v>11.25</v>
      </c>
      <c r="F35" s="33">
        <v>24.6</v>
      </c>
      <c r="G35" s="32">
        <v>41646</v>
      </c>
      <c r="H35" s="4">
        <v>13</v>
      </c>
      <c r="I35" s="4">
        <v>11.5</v>
      </c>
      <c r="J35" s="33">
        <v>27.4</v>
      </c>
      <c r="K35" s="49">
        <v>41675</v>
      </c>
      <c r="L35" s="50">
        <v>13.65</v>
      </c>
      <c r="M35" s="50">
        <v>11.55</v>
      </c>
      <c r="N35" s="51">
        <v>26.3</v>
      </c>
      <c r="O35">
        <v>69</v>
      </c>
      <c r="P35">
        <f t="shared" si="26"/>
        <v>25.450000000000003</v>
      </c>
      <c r="R35" s="24">
        <f>((L35-D35)/O35)*100/D35</f>
        <v>8.4260195483653516E-2</v>
      </c>
      <c r="S35" s="24">
        <f>((M35-E35)/O35)*100/E35</f>
        <v>3.8647342995169177E-2</v>
      </c>
      <c r="T35" s="17">
        <f>((N35-F35)/O35)*365</f>
        <v>8.9927536231884027</v>
      </c>
      <c r="U35" s="24">
        <f>(N35-F35)/O35</f>
        <v>2.4637681159420281E-2</v>
      </c>
      <c r="V35" s="17">
        <f>N35-F35</f>
        <v>1.6999999999999993</v>
      </c>
      <c r="W35" s="1">
        <f>T35*100/F35</f>
        <v>36.555909037351228</v>
      </c>
      <c r="X35" s="17">
        <f t="shared" ref="X35:X45" si="28">W35/365</f>
        <v>0.10015317544479789</v>
      </c>
      <c r="Y35" s="21">
        <f>100*(LN(N35)-LN(F35))/(69-0)</f>
        <v>9.6844197457104084E-2</v>
      </c>
      <c r="AA35" s="2">
        <f>[1]Tabelle1!H9</f>
        <v>2.4204312469010123</v>
      </c>
      <c r="AB35" s="2">
        <v>13.535683100427558</v>
      </c>
      <c r="AC35" s="2">
        <f>V35/AB35</f>
        <v>0.1255939569053815</v>
      </c>
      <c r="AE35">
        <f>(((N35-F35)*$AI$4/O35))/$AJ$4</f>
        <v>119.3927254779606</v>
      </c>
      <c r="AF35">
        <f>AE35/P35</f>
        <v>4.6912662270318499</v>
      </c>
    </row>
    <row r="36" spans="1:32" x14ac:dyDescent="0.25">
      <c r="A36" s="70"/>
      <c r="B36" s="2">
        <f>B35+1</f>
        <v>27</v>
      </c>
      <c r="C36" s="32">
        <v>41607</v>
      </c>
      <c r="D36" s="4">
        <v>13</v>
      </c>
      <c r="E36" s="4">
        <v>11.5</v>
      </c>
      <c r="F36" s="33">
        <v>26.1</v>
      </c>
      <c r="G36" s="32">
        <v>41646</v>
      </c>
      <c r="H36" s="4"/>
      <c r="I36" s="5"/>
      <c r="J36" s="33"/>
      <c r="K36" s="49"/>
      <c r="L36" s="50"/>
      <c r="M36" s="50"/>
      <c r="N36" s="51"/>
      <c r="T36" s="17"/>
      <c r="U36" s="24"/>
      <c r="AA36" s="2">
        <f>[1]Tabelle1!H10</f>
        <v>0.24659078265293197</v>
      </c>
      <c r="AB36" s="2">
        <v>1.379</v>
      </c>
    </row>
    <row r="37" spans="1:32" x14ac:dyDescent="0.25">
      <c r="A37" s="70"/>
      <c r="B37" s="2">
        <f t="shared" si="11"/>
        <v>28</v>
      </c>
      <c r="C37" s="32">
        <v>41611</v>
      </c>
      <c r="D37" s="4">
        <v>15.1</v>
      </c>
      <c r="E37" s="4">
        <v>13.3</v>
      </c>
      <c r="F37" s="33">
        <v>39.200000000000003</v>
      </c>
      <c r="G37" s="32">
        <v>41646</v>
      </c>
      <c r="H37" s="4">
        <v>15.3</v>
      </c>
      <c r="I37" s="4">
        <v>13.5</v>
      </c>
      <c r="J37" s="33">
        <v>44.1</v>
      </c>
      <c r="K37" s="49">
        <v>41675</v>
      </c>
      <c r="L37" s="50">
        <v>15.3</v>
      </c>
      <c r="M37" s="50">
        <v>13.5</v>
      </c>
      <c r="N37" s="51">
        <v>43.5</v>
      </c>
      <c r="O37">
        <v>65</v>
      </c>
      <c r="P37">
        <f t="shared" si="26"/>
        <v>41.35</v>
      </c>
      <c r="R37" s="24">
        <f>((L37-D37)/O37)*100/D37</f>
        <v>2.0376974019358233E-2</v>
      </c>
      <c r="S37" s="24">
        <f>((M37-E37)/O37)*100/E37</f>
        <v>2.3134759976865156E-2</v>
      </c>
      <c r="T37" s="17">
        <f>((N37-F37)/O37)*365</f>
        <v>24.14615384615383</v>
      </c>
      <c r="U37" s="24">
        <f>(N37-F37)/O37</f>
        <v>6.6153846153846105E-2</v>
      </c>
      <c r="V37" s="17">
        <f>N37-F37</f>
        <v>4.2999999999999972</v>
      </c>
      <c r="W37" s="1">
        <f>T37*100/F37</f>
        <v>61.597331240188339</v>
      </c>
      <c r="X37" s="17">
        <f t="shared" si="28"/>
        <v>0.16875981161695436</v>
      </c>
      <c r="Y37" s="21">
        <f>100*(LN(N37)-LN(F37))/(65-0)</f>
        <v>0.16012952507418701</v>
      </c>
      <c r="AA37" s="2">
        <f>[1]Tabelle1!H11</f>
        <v>3.8739858653454853</v>
      </c>
      <c r="AB37" s="2">
        <v>21.664339805557226</v>
      </c>
      <c r="AC37" s="2">
        <f>V37/AB37</f>
        <v>0.19848285424774326</v>
      </c>
      <c r="AE37">
        <f>(((N37-F37)*$AI$4/O37))/$AJ$4</f>
        <v>320.57757148697647</v>
      </c>
      <c r="AF37">
        <f>AE37/P37</f>
        <v>7.7527828654649689</v>
      </c>
    </row>
    <row r="38" spans="1:32" x14ac:dyDescent="0.25">
      <c r="A38" s="70"/>
      <c r="B38" s="2">
        <f t="shared" si="11"/>
        <v>29</v>
      </c>
      <c r="C38" s="32">
        <v>41611</v>
      </c>
      <c r="D38" s="4">
        <v>15.2</v>
      </c>
      <c r="E38" s="4">
        <v>13.3</v>
      </c>
      <c r="F38" s="33">
        <v>41.4</v>
      </c>
      <c r="G38" s="32">
        <v>41646</v>
      </c>
      <c r="H38" s="4"/>
      <c r="I38" s="5"/>
      <c r="J38" s="46"/>
      <c r="K38" s="49"/>
      <c r="L38" s="50"/>
      <c r="M38" s="50"/>
      <c r="N38" s="51"/>
      <c r="T38" s="17"/>
      <c r="U38" s="24"/>
      <c r="AA38" s="2">
        <f>[1]Tabelle1!H12</f>
        <v>0.78058822141483364</v>
      </c>
      <c r="AB38" s="2">
        <v>4.3652530145301309</v>
      </c>
    </row>
    <row r="39" spans="1:32" x14ac:dyDescent="0.25">
      <c r="A39" s="70"/>
      <c r="B39" s="2">
        <f t="shared" si="11"/>
        <v>30</v>
      </c>
      <c r="C39" s="32">
        <v>41614</v>
      </c>
      <c r="D39" s="4">
        <v>14.8</v>
      </c>
      <c r="E39" s="4">
        <v>13.1</v>
      </c>
      <c r="F39" s="33">
        <v>35.299999999999997</v>
      </c>
      <c r="G39" s="32">
        <v>41646</v>
      </c>
      <c r="H39" s="4">
        <v>14.8</v>
      </c>
      <c r="I39" s="4">
        <v>13.25</v>
      </c>
      <c r="J39" s="33">
        <v>36.9</v>
      </c>
      <c r="K39" s="49">
        <v>41675</v>
      </c>
      <c r="L39" s="50">
        <v>14.8</v>
      </c>
      <c r="M39" s="50">
        <v>13.3</v>
      </c>
      <c r="N39" s="51">
        <v>36.200000000000003</v>
      </c>
      <c r="O39">
        <v>63</v>
      </c>
      <c r="P39">
        <f t="shared" si="26"/>
        <v>35.75</v>
      </c>
      <c r="R39" s="24">
        <f>((L39-D39)/O39)*100/D39</f>
        <v>0</v>
      </c>
      <c r="S39" s="24">
        <f>((M39-E39)/O39)*100/E39</f>
        <v>2.4233612019871693E-2</v>
      </c>
      <c r="T39" s="17">
        <f>((N39-F39)/O39)*365</f>
        <v>5.2142857142857473</v>
      </c>
      <c r="U39" s="24">
        <f>(N39-F39)/O39</f>
        <v>1.4285714285714375E-2</v>
      </c>
      <c r="V39" s="17">
        <f>N39-F39</f>
        <v>0.90000000000000568</v>
      </c>
      <c r="W39" s="1">
        <f>T39*100/F39</f>
        <v>14.771347632537529</v>
      </c>
      <c r="X39" s="17">
        <f t="shared" si="28"/>
        <v>4.0469445568595969E-2</v>
      </c>
      <c r="Y39" s="21">
        <f>100*(LN(N39)-LN(F39))/(63-0)</f>
        <v>3.9962150622975381E-2</v>
      </c>
      <c r="AA39" s="2">
        <f>[1]Tabelle1!H13</f>
        <v>2.8817064373830954</v>
      </c>
      <c r="AB39" s="2">
        <v>16.115254327021535</v>
      </c>
      <c r="AC39" s="2">
        <f>V39/AB39</f>
        <v>5.5847706882969569E-2</v>
      </c>
      <c r="AE39">
        <f>(((N39-F39)*$AI$4/O39))/$AJ$4</f>
        <v>69.227714772935599</v>
      </c>
      <c r="AF39">
        <f>AE39/P39</f>
        <v>1.9364395740681286</v>
      </c>
    </row>
    <row r="40" spans="1:32" x14ac:dyDescent="0.25">
      <c r="A40" s="70"/>
      <c r="B40" s="2">
        <f t="shared" si="11"/>
        <v>31</v>
      </c>
      <c r="C40" s="32">
        <v>41614</v>
      </c>
      <c r="D40" s="4">
        <v>15.3</v>
      </c>
      <c r="E40" s="4">
        <v>13.6</v>
      </c>
      <c r="F40" s="33">
        <v>41.2</v>
      </c>
      <c r="G40" s="32">
        <v>41646</v>
      </c>
      <c r="H40" s="4"/>
      <c r="I40" s="5"/>
      <c r="J40" s="46"/>
      <c r="K40" s="49"/>
      <c r="L40" s="50"/>
      <c r="M40" s="50"/>
      <c r="N40" s="51"/>
      <c r="Q40" s="13"/>
      <c r="T40" s="17"/>
      <c r="U40" s="24"/>
      <c r="AA40" s="2">
        <f>[1]Tabelle1!H14</f>
        <v>0.97969893253050688</v>
      </c>
      <c r="AB40" s="2">
        <v>5.4787320654278542</v>
      </c>
    </row>
    <row r="41" spans="1:32" x14ac:dyDescent="0.25">
      <c r="A41" s="70"/>
      <c r="B41" s="2">
        <f t="shared" si="11"/>
        <v>32</v>
      </c>
      <c r="C41" s="32">
        <v>41614</v>
      </c>
      <c r="D41" s="4">
        <v>15</v>
      </c>
      <c r="E41" s="4">
        <v>13.3</v>
      </c>
      <c r="F41" s="33">
        <v>42.5</v>
      </c>
      <c r="G41" s="32">
        <v>41646</v>
      </c>
      <c r="H41" s="4">
        <v>15</v>
      </c>
      <c r="I41" s="4">
        <v>13.3</v>
      </c>
      <c r="J41" s="33">
        <v>44.7</v>
      </c>
      <c r="K41" s="49">
        <v>41678</v>
      </c>
      <c r="L41" s="50">
        <v>15.1</v>
      </c>
      <c r="M41" s="50">
        <v>13.4</v>
      </c>
      <c r="N41" s="51">
        <v>42.6</v>
      </c>
      <c r="O41">
        <v>65</v>
      </c>
      <c r="P41">
        <f t="shared" si="26"/>
        <v>42.55</v>
      </c>
      <c r="R41" s="24">
        <f>((L41-D41)/O41)*100/D41</f>
        <v>1.025641025641022E-2</v>
      </c>
      <c r="S41" s="24">
        <f>((M41-E41)/O41)*100/E41</f>
        <v>1.1567379988432578E-2</v>
      </c>
      <c r="T41" s="17">
        <f>((N41-F41)/O41)*365</f>
        <v>0.56153846153846954</v>
      </c>
      <c r="U41" s="24">
        <f>(N41-F41)/O41</f>
        <v>1.5384615384615604E-3</v>
      </c>
      <c r="V41" s="17">
        <f>N41-F41</f>
        <v>0.10000000000000142</v>
      </c>
      <c r="W41" s="1">
        <f>T41*100/F41</f>
        <v>1.3212669683258107</v>
      </c>
      <c r="X41" s="17">
        <f t="shared" si="28"/>
        <v>3.6199095022624952E-3</v>
      </c>
      <c r="Y41" s="21">
        <f>100*(LN(N41)-LN(F41))/(65-0)</f>
        <v>3.6156574537749009E-3</v>
      </c>
      <c r="AA41" s="2">
        <f>[1]Tabelle1!H15</f>
        <v>2.3003301473556359</v>
      </c>
      <c r="AB41" s="2">
        <v>12.864046413560079</v>
      </c>
      <c r="AC41" s="2">
        <f>V41/AB41</f>
        <v>7.7736037934837314E-3</v>
      </c>
      <c r="AE41">
        <f>(((N41-F41)*$AI$4/O41))/$AJ$4</f>
        <v>7.4552923601623551</v>
      </c>
      <c r="AF41">
        <f>AE41/P41</f>
        <v>0.17521251140217051</v>
      </c>
    </row>
    <row r="42" spans="1:32" x14ac:dyDescent="0.25">
      <c r="A42" s="70"/>
      <c r="B42" s="2">
        <f t="shared" si="11"/>
        <v>33</v>
      </c>
      <c r="C42" s="32">
        <v>41617</v>
      </c>
      <c r="D42" s="4">
        <v>10.7</v>
      </c>
      <c r="E42" s="4">
        <v>9.5</v>
      </c>
      <c r="F42" s="33">
        <v>12.6</v>
      </c>
      <c r="G42" s="32">
        <v>41646</v>
      </c>
      <c r="H42" s="4">
        <v>10.8</v>
      </c>
      <c r="I42" s="4">
        <v>9.5500000000000007</v>
      </c>
      <c r="J42" s="33">
        <v>13.7</v>
      </c>
      <c r="K42" s="49">
        <v>41678</v>
      </c>
      <c r="L42" s="50">
        <v>10.9</v>
      </c>
      <c r="M42" s="50">
        <v>9.6</v>
      </c>
      <c r="N42" s="51">
        <v>13.6</v>
      </c>
      <c r="O42">
        <v>65</v>
      </c>
      <c r="P42">
        <f t="shared" si="26"/>
        <v>13.1</v>
      </c>
      <c r="R42" s="24">
        <f>((L42-D42)/O42)*100/D42</f>
        <v>2.8756290438533585E-2</v>
      </c>
      <c r="S42" s="24">
        <f>((M42-E42)/O42)*100/E42</f>
        <v>1.6194331983805609E-2</v>
      </c>
      <c r="T42" s="17">
        <f>((N42-F42)/O42)*365</f>
        <v>5.6153846153846159</v>
      </c>
      <c r="U42" s="24">
        <f>(N42-F42)/O42</f>
        <v>1.5384615384615385E-2</v>
      </c>
      <c r="V42" s="17">
        <f>N42-F42</f>
        <v>1</v>
      </c>
      <c r="W42" s="1">
        <f>T42*100/F42</f>
        <v>44.566544566544572</v>
      </c>
      <c r="X42" s="17">
        <f t="shared" si="28"/>
        <v>0.12210012210012211</v>
      </c>
      <c r="Y42" s="21">
        <f>100*(LN(N42)-LN(F42))/(65-0)</f>
        <v>0.11749689043780674</v>
      </c>
      <c r="AA42" s="2">
        <f>[1]Tabelle1!H16</f>
        <v>1.557776073674445</v>
      </c>
      <c r="AB42" s="2">
        <v>8.7114902774794292</v>
      </c>
      <c r="AC42" s="2">
        <f>V42/AB42</f>
        <v>0.11479092189141932</v>
      </c>
      <c r="AE42">
        <f>(((N42-F42)*$AI$4/O42))/$AJ$4</f>
        <v>74.552923601622481</v>
      </c>
      <c r="AF42">
        <f>AE42/P42</f>
        <v>5.6910628703528614</v>
      </c>
    </row>
    <row r="43" spans="1:32" x14ac:dyDescent="0.25">
      <c r="A43" s="70"/>
      <c r="B43" s="2">
        <f t="shared" si="11"/>
        <v>34</v>
      </c>
      <c r="C43" s="32">
        <v>41617</v>
      </c>
      <c r="D43" s="4">
        <v>8.9</v>
      </c>
      <c r="E43" s="4">
        <v>10.1</v>
      </c>
      <c r="F43" s="33">
        <v>9.6</v>
      </c>
      <c r="G43" s="32">
        <v>41646</v>
      </c>
      <c r="H43" s="5"/>
      <c r="I43" s="4">
        <v>8.1999999999999993</v>
      </c>
      <c r="J43" s="33">
        <v>9.6</v>
      </c>
      <c r="K43" s="49"/>
      <c r="L43" s="50"/>
      <c r="M43" s="50"/>
      <c r="N43" s="51"/>
      <c r="T43" s="17"/>
      <c r="U43" s="24"/>
      <c r="W43" s="17"/>
      <c r="AA43" s="2">
        <f>[1]Tabelle1!H17</f>
        <v>0</v>
      </c>
      <c r="AB43" s="2">
        <v>0</v>
      </c>
    </row>
    <row r="44" spans="1:32" x14ac:dyDescent="0.25">
      <c r="A44" s="70"/>
      <c r="B44" s="2">
        <f t="shared" si="11"/>
        <v>35</v>
      </c>
      <c r="C44" s="32">
        <v>41617</v>
      </c>
      <c r="D44" s="4">
        <v>14.2</v>
      </c>
      <c r="E44" s="4">
        <v>12.6</v>
      </c>
      <c r="F44" s="33">
        <v>33.700000000000003</v>
      </c>
      <c r="G44" s="32">
        <v>41646</v>
      </c>
      <c r="H44" s="4">
        <v>14.1</v>
      </c>
      <c r="I44" s="4">
        <v>12.6</v>
      </c>
      <c r="J44" s="33">
        <v>31.5</v>
      </c>
      <c r="K44" s="49">
        <v>41678</v>
      </c>
      <c r="L44" s="50">
        <v>14.2</v>
      </c>
      <c r="M44" s="50">
        <v>12.7</v>
      </c>
      <c r="N44" s="51">
        <v>32.5</v>
      </c>
      <c r="O44">
        <v>65</v>
      </c>
      <c r="P44">
        <f t="shared" si="26"/>
        <v>33.1</v>
      </c>
      <c r="R44" s="24">
        <f>((L44-D44)/O44)*100/D44</f>
        <v>0</v>
      </c>
      <c r="S44" s="24">
        <f>((M44-E44)/O44)*100/E44</f>
        <v>1.2210012210012167E-2</v>
      </c>
      <c r="T44" s="17">
        <f>((N44-F44)/O44)*365</f>
        <v>-6.7384615384615545</v>
      </c>
      <c r="U44" s="24">
        <f>(N44-F44)/O44</f>
        <v>-1.8461538461538505E-2</v>
      </c>
      <c r="V44" s="17">
        <f>N44-F44</f>
        <v>-1.2000000000000028</v>
      </c>
      <c r="W44" s="17">
        <f>T44*100/F44</f>
        <v>-19.995434832230128</v>
      </c>
      <c r="X44" s="17">
        <f t="shared" ref="X44" si="29">W44/365</f>
        <v>-5.4782013238986654E-2</v>
      </c>
      <c r="Y44" s="21">
        <f>100*(LN(N44)-LN(F44))/(65-0)</f>
        <v>-5.5781150804037338E-2</v>
      </c>
      <c r="AA44" s="2">
        <f>[1]Tabelle1!H18</f>
        <v>0.67555414863217877</v>
      </c>
      <c r="AB44" s="2">
        <v>3.777875072787916</v>
      </c>
      <c r="AC44" s="2">
        <f>V44/AB44</f>
        <v>-0.31763887817350517</v>
      </c>
      <c r="AE44">
        <f>(((N44-F44)*$AI$4/O44))/$AJ$4</f>
        <v>-89.463508321947188</v>
      </c>
      <c r="AF44">
        <f>AE44/P44</f>
        <v>-2.7028250248322414</v>
      </c>
    </row>
    <row r="45" spans="1:32" s="5" customFormat="1" x14ac:dyDescent="0.25">
      <c r="A45" s="70"/>
      <c r="B45" s="3">
        <f t="shared" si="11"/>
        <v>36</v>
      </c>
      <c r="C45" s="32">
        <v>41617</v>
      </c>
      <c r="D45" s="4">
        <v>10.1</v>
      </c>
      <c r="E45" s="4">
        <v>8.9</v>
      </c>
      <c r="F45" s="33">
        <v>9.3000000000000007</v>
      </c>
      <c r="G45" s="32">
        <v>41646</v>
      </c>
      <c r="H45" s="4">
        <v>10.1</v>
      </c>
      <c r="I45" s="4">
        <v>8.9</v>
      </c>
      <c r="J45" s="33">
        <v>9.6999999999999993</v>
      </c>
      <c r="K45" s="49">
        <v>41678</v>
      </c>
      <c r="L45" s="50">
        <v>10.199999999999999</v>
      </c>
      <c r="M45" s="50">
        <v>9</v>
      </c>
      <c r="N45" s="51">
        <v>9.6</v>
      </c>
      <c r="O45" s="5">
        <v>65</v>
      </c>
      <c r="P45" s="5">
        <f t="shared" si="26"/>
        <v>9.4499999999999993</v>
      </c>
      <c r="R45" s="24">
        <f>((L45-D45)/O45)*100/D45</f>
        <v>1.5232292460015178E-2</v>
      </c>
      <c r="S45" s="24">
        <f>((M45-E45)/O45)*100/E45</f>
        <v>1.7286084701814978E-2</v>
      </c>
      <c r="T45" s="17">
        <f>((N45-F45)/O45)*365</f>
        <v>1.6846153846153789</v>
      </c>
      <c r="U45" s="24">
        <f>(N45-F45)/O45</f>
        <v>4.6153846153845993E-3</v>
      </c>
      <c r="V45" s="17">
        <f>N45-F45</f>
        <v>0.29999999999999893</v>
      </c>
      <c r="W45" s="1">
        <f>T45*100/F45</f>
        <v>18.11414392059547</v>
      </c>
      <c r="X45" s="17">
        <f t="shared" si="28"/>
        <v>4.9627791563275264E-2</v>
      </c>
      <c r="Y45" s="21">
        <f>100*(LN(N45)-LN(F45))/(65-0)</f>
        <v>4.8844151253200414E-2</v>
      </c>
      <c r="Z45" s="21"/>
      <c r="AA45" s="2">
        <f>[1]Tabelle1!H19</f>
        <v>0.7540560134014912</v>
      </c>
      <c r="AB45" s="2">
        <v>4.2168779842197104</v>
      </c>
      <c r="AC45" s="2">
        <f>V45/AB45</f>
        <v>7.1142679755651222E-2</v>
      </c>
      <c r="AD45" s="2"/>
      <c r="AE45">
        <f>(((N45-F45)*$AI$4/O45))/$AJ$4</f>
        <v>22.365877080486662</v>
      </c>
      <c r="AF45" s="5">
        <f>AE45/P45</f>
        <v>2.366759479416578</v>
      </c>
    </row>
    <row r="46" spans="1:32" s="6" customFormat="1" x14ac:dyDescent="0.25">
      <c r="A46" s="70"/>
      <c r="B46" s="9"/>
      <c r="C46" s="42" t="s">
        <v>2</v>
      </c>
      <c r="D46" s="8">
        <f>AVERAGE(D34:D45)</f>
        <v>13.516666666666666</v>
      </c>
      <c r="E46" s="8">
        <f t="shared" ref="E46:F46" si="30">AVERAGE(E34:E45)</f>
        <v>12.129166666666665</v>
      </c>
      <c r="F46" s="35">
        <f t="shared" si="30"/>
        <v>31.183333333333337</v>
      </c>
      <c r="G46" s="42"/>
      <c r="H46" s="8"/>
      <c r="I46" s="8"/>
      <c r="J46" s="35"/>
      <c r="K46" s="42"/>
      <c r="L46" s="8"/>
      <c r="M46" s="8"/>
      <c r="N46" s="35"/>
      <c r="Q46" s="6" t="s">
        <v>1</v>
      </c>
      <c r="R46" s="53">
        <f>AVERAGE(R34:R45)</f>
        <v>1.9860270332246341E-2</v>
      </c>
      <c r="S46" s="53">
        <f t="shared" ref="S46:W46" si="31">AVERAGE(S34:S45)</f>
        <v>1.8509056114595284E-2</v>
      </c>
      <c r="T46" s="8">
        <f t="shared" si="31"/>
        <v>4.2733018792801394</v>
      </c>
      <c r="U46" s="53">
        <f t="shared" ref="U46" si="32">AVERAGE(U34:U45)</f>
        <v>1.1707676381589425E-2</v>
      </c>
      <c r="V46" s="8"/>
      <c r="W46" s="8">
        <f t="shared" si="31"/>
        <v>18.489928798251885</v>
      </c>
      <c r="X46" s="8">
        <f t="shared" ref="X46" si="33">AVERAGE(X34:X45)</f>
        <v>5.0657339173292834E-2</v>
      </c>
      <c r="Y46" s="22">
        <f t="shared" ref="Y46:AF46" si="34">AVERAGE(Y34:Y45)</f>
        <v>4.8276146288326223E-2</v>
      </c>
      <c r="Z46" s="22"/>
      <c r="AA46" s="22">
        <f t="shared" si="34"/>
        <v>1.7083580473392723</v>
      </c>
      <c r="AB46" s="22"/>
      <c r="AC46" s="22">
        <f t="shared" si="34"/>
        <v>2.6452044637268832E-2</v>
      </c>
      <c r="AD46" s="22"/>
      <c r="AE46" s="6">
        <f t="shared" si="34"/>
        <v>56.734697683895156</v>
      </c>
      <c r="AF46" s="6">
        <f t="shared" si="34"/>
        <v>2.3379975040420868</v>
      </c>
    </row>
    <row r="47" spans="1:32" s="14" customFormat="1" x14ac:dyDescent="0.25">
      <c r="A47" s="70"/>
      <c r="B47" s="16"/>
      <c r="C47" s="43"/>
      <c r="D47" s="15"/>
      <c r="E47" s="15"/>
      <c r="F47" s="40"/>
      <c r="G47" s="43"/>
      <c r="H47" s="15"/>
      <c r="I47" s="15"/>
      <c r="J47" s="40"/>
      <c r="K47" s="43"/>
      <c r="L47" s="15"/>
      <c r="M47" s="15"/>
      <c r="N47" s="40"/>
      <c r="R47" s="54"/>
      <c r="S47" s="54"/>
      <c r="T47" s="15"/>
      <c r="U47" s="54"/>
      <c r="V47" s="15"/>
      <c r="W47" s="15"/>
      <c r="X47" s="15"/>
      <c r="Y47" s="19"/>
      <c r="Z47" s="19"/>
      <c r="AA47" s="19"/>
      <c r="AB47" s="19"/>
      <c r="AC47" s="19"/>
      <c r="AD47" s="19"/>
    </row>
    <row r="48" spans="1:32" s="14" customFormat="1" x14ac:dyDescent="0.25">
      <c r="A48" s="60"/>
      <c r="B48" s="16"/>
      <c r="C48" s="43"/>
      <c r="D48" s="15"/>
      <c r="E48" s="15"/>
      <c r="F48" s="40"/>
      <c r="G48" s="43"/>
      <c r="H48" s="15"/>
      <c r="I48" s="15"/>
      <c r="J48" s="40"/>
      <c r="K48" s="43"/>
      <c r="L48" s="15"/>
      <c r="M48" s="15"/>
      <c r="N48" s="40"/>
      <c r="Q48" s="16"/>
      <c r="R48" s="55"/>
      <c r="S48" s="55"/>
      <c r="T48" s="19"/>
      <c r="U48" s="55"/>
      <c r="V48" s="19"/>
      <c r="W48" s="19"/>
      <c r="X48" s="19"/>
      <c r="Y48" s="21"/>
      <c r="Z48" s="21"/>
      <c r="AA48" s="16"/>
      <c r="AB48" s="16"/>
      <c r="AC48" s="16"/>
      <c r="AD48" s="16"/>
    </row>
    <row r="49" spans="1:32" s="7" customFormat="1" ht="15.75" thickBot="1" x14ac:dyDescent="0.3">
      <c r="A49" s="61"/>
      <c r="B49" s="10"/>
      <c r="C49" s="44"/>
      <c r="D49" s="11"/>
      <c r="E49" s="11"/>
      <c r="F49" s="41"/>
      <c r="G49" s="44"/>
      <c r="H49" s="11"/>
      <c r="I49" s="11"/>
      <c r="J49" s="41"/>
      <c r="K49" s="44"/>
      <c r="L49" s="11"/>
      <c r="M49" s="11"/>
      <c r="N49" s="41"/>
      <c r="Q49" s="10"/>
      <c r="R49" s="56"/>
      <c r="S49" s="56"/>
      <c r="T49" s="20"/>
      <c r="U49" s="56"/>
      <c r="V49" s="20"/>
      <c r="W49" s="20"/>
      <c r="X49" s="20"/>
      <c r="Y49" s="23"/>
      <c r="Z49" s="23"/>
      <c r="AA49" s="10"/>
      <c r="AB49" s="10"/>
      <c r="AC49" s="10"/>
      <c r="AD49" s="10"/>
    </row>
    <row r="50" spans="1:32" x14ac:dyDescent="0.25">
      <c r="A50" s="72">
        <v>1</v>
      </c>
      <c r="B50" s="2">
        <f>B45+1</f>
        <v>37</v>
      </c>
      <c r="C50" s="32">
        <v>41619</v>
      </c>
      <c r="D50" s="4">
        <v>15.8</v>
      </c>
      <c r="E50" s="4">
        <v>14</v>
      </c>
      <c r="F50" s="33">
        <v>45.1</v>
      </c>
      <c r="G50" s="45"/>
      <c r="H50" s="4">
        <v>16.100000000000001</v>
      </c>
      <c r="I50" s="4">
        <v>14.3</v>
      </c>
      <c r="J50" s="33">
        <v>58.7</v>
      </c>
      <c r="K50" s="49">
        <v>41680</v>
      </c>
      <c r="L50" s="50">
        <v>16.2</v>
      </c>
      <c r="M50" s="50">
        <v>14.4</v>
      </c>
      <c r="N50" s="51">
        <v>57.4</v>
      </c>
      <c r="O50">
        <v>62</v>
      </c>
      <c r="P50">
        <f t="shared" ref="P50:P61" si="35">AVERAGE(F50,N50)</f>
        <v>51.25</v>
      </c>
      <c r="R50" s="24">
        <f t="shared" ref="R50:R61" si="36">((L50-D50)/O50)*100/D50</f>
        <v>4.083299305839104E-2</v>
      </c>
      <c r="S50" s="24">
        <f t="shared" ref="S50:S61" si="37">((M50-E50)/O50)*100/E50</f>
        <v>4.6082949308755804E-2</v>
      </c>
      <c r="T50" s="1">
        <f t="shared" ref="T50:T61" si="38">((N50-F50)/O50)*365</f>
        <v>72.411290322580626</v>
      </c>
      <c r="U50" s="24">
        <f t="shared" ref="U50:U61" si="39">(N50-F50)/O50</f>
        <v>0.1983870967741935</v>
      </c>
      <c r="V50" s="17">
        <f t="shared" ref="V50:V61" si="40">N50-F50</f>
        <v>12.299999999999997</v>
      </c>
      <c r="W50" s="1">
        <f t="shared" ref="W50:W61" si="41">T50*100/F50</f>
        <v>160.55718475073309</v>
      </c>
      <c r="X50" s="17">
        <f t="shared" ref="X50:X61" si="42">W50/365</f>
        <v>0.43988269794721391</v>
      </c>
      <c r="Y50" s="21">
        <f>100*(LN(N50)-LN(F50))/(62-0)</f>
        <v>0.38897105938207771</v>
      </c>
      <c r="AA50" s="2">
        <f>[1]Tabelle1!K8</f>
        <v>5.4655167111859821</v>
      </c>
      <c r="AB50" s="2">
        <v>30.564595576686514</v>
      </c>
      <c r="AC50" s="2">
        <f t="shared" ref="AC50:AC61" si="43">V50/AB50</f>
        <v>0.40242639458910295</v>
      </c>
      <c r="AE50">
        <f t="shared" ref="AE50:AE61" si="44">(((N50-F50)*$AI$5/O50))/$AJ$5</f>
        <v>956.162599309489</v>
      </c>
      <c r="AF50">
        <f t="shared" ref="AF50:AF61" si="45">AE50/P50</f>
        <v>18.65683120603881</v>
      </c>
    </row>
    <row r="51" spans="1:32" x14ac:dyDescent="0.25">
      <c r="A51" s="70"/>
      <c r="B51" s="2">
        <f t="shared" si="11"/>
        <v>38</v>
      </c>
      <c r="C51" s="32">
        <v>41619</v>
      </c>
      <c r="D51" s="4">
        <v>12.5</v>
      </c>
      <c r="E51" s="4">
        <v>11.2</v>
      </c>
      <c r="F51" s="33">
        <v>19.399999999999999</v>
      </c>
      <c r="G51" s="45"/>
      <c r="H51" s="4">
        <v>12.55</v>
      </c>
      <c r="I51" s="4">
        <v>11.2</v>
      </c>
      <c r="J51" s="33">
        <v>23.5</v>
      </c>
      <c r="K51" s="49">
        <v>41680</v>
      </c>
      <c r="L51" s="50">
        <v>12.8</v>
      </c>
      <c r="M51" s="50">
        <v>11.3</v>
      </c>
      <c r="N51" s="51">
        <v>22.3</v>
      </c>
      <c r="O51">
        <v>62</v>
      </c>
      <c r="P51">
        <f t="shared" si="35"/>
        <v>20.85</v>
      </c>
      <c r="R51" s="24">
        <f t="shared" si="36"/>
        <v>3.8709677419354931E-2</v>
      </c>
      <c r="S51" s="24">
        <f t="shared" si="37"/>
        <v>1.4400921658986382E-2</v>
      </c>
      <c r="T51" s="17">
        <f t="shared" si="38"/>
        <v>17.072580645161302</v>
      </c>
      <c r="U51" s="24">
        <f t="shared" si="39"/>
        <v>4.6774193548387133E-2</v>
      </c>
      <c r="V51" s="17">
        <f t="shared" si="40"/>
        <v>2.9000000000000021</v>
      </c>
      <c r="W51" s="1">
        <f t="shared" si="41"/>
        <v>88.002993016295378</v>
      </c>
      <c r="X51" s="17">
        <f t="shared" si="42"/>
        <v>0.24110409045560377</v>
      </c>
      <c r="Y51" s="21">
        <f>100*(LN(N51)-LN(F51))/(62-0)</f>
        <v>0.22469937483353328</v>
      </c>
      <c r="AA51" s="2">
        <f>[1]Tabelle1!K9</f>
        <v>1.918974101382517</v>
      </c>
      <c r="AB51" s="2">
        <v>10.731403896515541</v>
      </c>
      <c r="AC51" s="2">
        <f t="shared" si="43"/>
        <v>0.27023491315443121</v>
      </c>
      <c r="AE51">
        <f t="shared" si="44"/>
        <v>225.43671040630252</v>
      </c>
      <c r="AF51">
        <f t="shared" si="45"/>
        <v>10.812312249702758</v>
      </c>
    </row>
    <row r="52" spans="1:32" x14ac:dyDescent="0.25">
      <c r="A52" s="70"/>
      <c r="B52" s="2">
        <f t="shared" si="11"/>
        <v>39</v>
      </c>
      <c r="C52" s="32">
        <v>41619</v>
      </c>
      <c r="D52" s="4">
        <v>13.8</v>
      </c>
      <c r="E52" s="4">
        <v>12.2</v>
      </c>
      <c r="F52" s="33">
        <v>29.5</v>
      </c>
      <c r="G52" s="45"/>
      <c r="H52" s="4">
        <v>13.8</v>
      </c>
      <c r="I52" s="4">
        <v>12.3</v>
      </c>
      <c r="J52" s="33">
        <v>34.4</v>
      </c>
      <c r="K52" s="49">
        <v>41680</v>
      </c>
      <c r="L52" s="50">
        <v>14</v>
      </c>
      <c r="M52" s="50">
        <v>12.4</v>
      </c>
      <c r="N52" s="51">
        <v>31.9</v>
      </c>
      <c r="O52">
        <v>62</v>
      </c>
      <c r="P52">
        <f t="shared" si="35"/>
        <v>30.7</v>
      </c>
      <c r="R52" s="24">
        <f t="shared" si="36"/>
        <v>2.3375409069658636E-2</v>
      </c>
      <c r="S52" s="24">
        <f t="shared" si="37"/>
        <v>2.6441036488630495E-2</v>
      </c>
      <c r="T52" s="17">
        <f t="shared" si="38"/>
        <v>14.129032258064507</v>
      </c>
      <c r="U52" s="24">
        <f t="shared" si="39"/>
        <v>3.8709677419354813E-2</v>
      </c>
      <c r="V52" s="17">
        <f t="shared" si="40"/>
        <v>2.3999999999999986</v>
      </c>
      <c r="W52" s="1">
        <f t="shared" si="41"/>
        <v>47.895024603608505</v>
      </c>
      <c r="X52" s="17">
        <f t="shared" si="42"/>
        <v>0.13121924548933836</v>
      </c>
      <c r="Y52" s="21">
        <f>100*(LN(N52)-LN(F52))/(62-0)</f>
        <v>0.12615442975003968</v>
      </c>
      <c r="AA52" s="2">
        <f>[1]Tabelle1!K10</f>
        <v>2.2499650765278636</v>
      </c>
      <c r="AB52" s="2">
        <v>12.582391795636862</v>
      </c>
      <c r="AC52" s="2">
        <f t="shared" si="43"/>
        <v>0.19074274899246385</v>
      </c>
      <c r="AE52">
        <f t="shared" si="44"/>
        <v>186.56831206038805</v>
      </c>
      <c r="AF52">
        <f t="shared" si="45"/>
        <v>6.0771437153220864</v>
      </c>
    </row>
    <row r="53" spans="1:32" x14ac:dyDescent="0.25">
      <c r="A53" s="70"/>
      <c r="B53" s="2">
        <f t="shared" si="11"/>
        <v>40</v>
      </c>
      <c r="C53" s="32">
        <v>41619</v>
      </c>
      <c r="D53" s="4">
        <v>13.8</v>
      </c>
      <c r="E53" s="4">
        <v>12.3</v>
      </c>
      <c r="F53" s="33">
        <v>29.7</v>
      </c>
      <c r="G53" s="45"/>
      <c r="H53" s="4">
        <v>14</v>
      </c>
      <c r="I53" s="4">
        <v>12.5</v>
      </c>
      <c r="J53" s="33">
        <v>32.700000000000003</v>
      </c>
      <c r="K53" s="49">
        <v>41680</v>
      </c>
      <c r="L53" s="50">
        <v>14.05</v>
      </c>
      <c r="M53" s="50">
        <v>12.5</v>
      </c>
      <c r="N53" s="51">
        <v>31.2</v>
      </c>
      <c r="O53">
        <v>62</v>
      </c>
      <c r="P53">
        <f t="shared" si="35"/>
        <v>30.45</v>
      </c>
      <c r="R53" s="24">
        <f t="shared" si="36"/>
        <v>2.9219261337073397E-2</v>
      </c>
      <c r="S53" s="24">
        <f t="shared" si="37"/>
        <v>2.6226068712299933E-2</v>
      </c>
      <c r="T53" s="17">
        <f t="shared" si="38"/>
        <v>8.8306451612903221</v>
      </c>
      <c r="U53" s="24">
        <f t="shared" si="39"/>
        <v>2.4193548387096774E-2</v>
      </c>
      <c r="V53" s="17">
        <f t="shared" si="40"/>
        <v>1.5</v>
      </c>
      <c r="W53" s="1">
        <f t="shared" si="41"/>
        <v>29.732811990876506</v>
      </c>
      <c r="X53" s="17">
        <f t="shared" si="42"/>
        <v>8.1459758879113719E-2</v>
      </c>
      <c r="Y53" s="21">
        <f>100*(LN(N53)-LN(F53))/(62-0)</f>
        <v>7.9469433881907581E-2</v>
      </c>
      <c r="AA53" s="2">
        <f>[1]Tabelle1!K11</f>
        <v>1.1933817797130155</v>
      </c>
      <c r="AB53" s="2">
        <v>6.67370230354667</v>
      </c>
      <c r="AC53" s="2">
        <f t="shared" si="43"/>
        <v>0.22476279758580789</v>
      </c>
      <c r="AE53">
        <f t="shared" si="44"/>
        <v>116.60519503774258</v>
      </c>
      <c r="AF53">
        <f t="shared" si="45"/>
        <v>3.8293988518142061</v>
      </c>
    </row>
    <row r="54" spans="1:32" x14ac:dyDescent="0.25">
      <c r="A54" s="70"/>
      <c r="B54" s="2">
        <f>B53+1</f>
        <v>41</v>
      </c>
      <c r="C54" s="32">
        <v>41621</v>
      </c>
      <c r="D54" s="4">
        <v>13.6</v>
      </c>
      <c r="E54" s="4">
        <v>12</v>
      </c>
      <c r="F54" s="33">
        <v>26.6</v>
      </c>
      <c r="G54" s="45"/>
      <c r="H54" s="4">
        <v>13.9</v>
      </c>
      <c r="I54" s="4">
        <v>12.3</v>
      </c>
      <c r="J54" s="33">
        <v>31.7</v>
      </c>
      <c r="K54" s="49">
        <v>41683</v>
      </c>
      <c r="L54" s="50">
        <v>14.9</v>
      </c>
      <c r="M54" s="50">
        <v>12.3</v>
      </c>
      <c r="N54" s="51">
        <v>30.6</v>
      </c>
      <c r="O54">
        <v>63</v>
      </c>
      <c r="P54">
        <f t="shared" si="35"/>
        <v>28.6</v>
      </c>
      <c r="R54" s="24">
        <f t="shared" si="36"/>
        <v>0.15172735760971062</v>
      </c>
      <c r="S54" s="24">
        <f t="shared" si="37"/>
        <v>3.9682539682539784E-2</v>
      </c>
      <c r="T54" s="17">
        <f t="shared" si="38"/>
        <v>23.174603174603174</v>
      </c>
      <c r="U54" s="24">
        <f t="shared" si="39"/>
        <v>6.3492063492063489E-2</v>
      </c>
      <c r="V54" s="17">
        <f t="shared" si="40"/>
        <v>4</v>
      </c>
      <c r="W54" s="1">
        <f t="shared" si="41"/>
        <v>87.122568325575841</v>
      </c>
      <c r="X54" s="17">
        <f t="shared" si="42"/>
        <v>0.23869196801527628</v>
      </c>
      <c r="Y54" s="21">
        <f>100*(LN(N54)-LN(F54))/(63-0)</f>
        <v>0.22236316376298662</v>
      </c>
      <c r="AA54" s="2">
        <f>[1]Tabelle1!K12</f>
        <v>2.7486597103299033</v>
      </c>
      <c r="AB54" s="2">
        <v>15.371222313202992</v>
      </c>
      <c r="AC54" s="2">
        <f t="shared" si="43"/>
        <v>0.26022654012129087</v>
      </c>
      <c r="AE54">
        <f t="shared" si="44"/>
        <v>306.01151713608641</v>
      </c>
      <c r="AF54">
        <f t="shared" si="45"/>
        <v>10.699703396366656</v>
      </c>
    </row>
    <row r="55" spans="1:32" x14ac:dyDescent="0.25">
      <c r="A55" s="70"/>
      <c r="B55" s="2">
        <f t="shared" si="11"/>
        <v>42</v>
      </c>
      <c r="C55" s="32">
        <v>41621</v>
      </c>
      <c r="D55" s="4">
        <v>12.8</v>
      </c>
      <c r="E55" s="4">
        <v>11.4</v>
      </c>
      <c r="F55" s="33">
        <v>23.6</v>
      </c>
      <c r="G55" s="45"/>
      <c r="H55" s="4">
        <v>13</v>
      </c>
      <c r="I55" s="4">
        <v>11.5</v>
      </c>
      <c r="J55" s="33">
        <v>26.5</v>
      </c>
      <c r="K55" s="49">
        <v>41683</v>
      </c>
      <c r="L55" s="50">
        <v>13.15</v>
      </c>
      <c r="M55" s="50">
        <v>11.7</v>
      </c>
      <c r="N55" s="51">
        <v>28</v>
      </c>
      <c r="O55">
        <v>63</v>
      </c>
      <c r="P55">
        <f t="shared" si="35"/>
        <v>25.8</v>
      </c>
      <c r="R55" s="24">
        <f t="shared" si="36"/>
        <v>4.3402777777777728E-2</v>
      </c>
      <c r="S55" s="24">
        <f t="shared" si="37"/>
        <v>4.1771094402673202E-2</v>
      </c>
      <c r="T55" s="17">
        <f t="shared" si="38"/>
        <v>25.492063492063483</v>
      </c>
      <c r="U55" s="24">
        <f t="shared" si="39"/>
        <v>6.9841269841269815E-2</v>
      </c>
      <c r="V55" s="17">
        <f t="shared" si="40"/>
        <v>4.3999999999999986</v>
      </c>
      <c r="W55" s="1">
        <f t="shared" si="41"/>
        <v>108.01721818670967</v>
      </c>
      <c r="X55" s="17">
        <f t="shared" si="42"/>
        <v>0.29593758407317716</v>
      </c>
      <c r="Y55" s="21">
        <f>100*(LN(N55)-LN(F55))/(63-0)</f>
        <v>0.27136158435498292</v>
      </c>
      <c r="AA55" s="2">
        <f>[1]Tabelle1!K13</f>
        <v>3.3007654996420768</v>
      </c>
      <c r="AB55" s="2">
        <v>18.458741949056805</v>
      </c>
      <c r="AC55" s="2">
        <f t="shared" si="43"/>
        <v>0.2383694410021712</v>
      </c>
      <c r="AE55">
        <f t="shared" si="44"/>
        <v>336.61266884969496</v>
      </c>
      <c r="AF55">
        <f t="shared" si="45"/>
        <v>13.047002668592828</v>
      </c>
    </row>
    <row r="56" spans="1:32" x14ac:dyDescent="0.25">
      <c r="A56" s="70"/>
      <c r="B56" s="2">
        <f t="shared" si="11"/>
        <v>43</v>
      </c>
      <c r="C56" s="32">
        <v>41621</v>
      </c>
      <c r="D56" s="4">
        <v>12.4</v>
      </c>
      <c r="E56" s="4">
        <v>11</v>
      </c>
      <c r="F56" s="33">
        <v>19.399999999999999</v>
      </c>
      <c r="G56" s="45"/>
      <c r="H56" s="4">
        <v>12.6</v>
      </c>
      <c r="I56" s="4">
        <v>11.2</v>
      </c>
      <c r="J56" s="33">
        <v>26.3</v>
      </c>
      <c r="K56" s="49">
        <v>41683</v>
      </c>
      <c r="L56" s="50">
        <v>12.7</v>
      </c>
      <c r="M56" s="50">
        <v>11.35</v>
      </c>
      <c r="N56" s="51">
        <v>25</v>
      </c>
      <c r="O56">
        <v>63</v>
      </c>
      <c r="P56">
        <f t="shared" si="35"/>
        <v>22.2</v>
      </c>
      <c r="R56" s="24">
        <f t="shared" si="36"/>
        <v>3.8402457757296331E-2</v>
      </c>
      <c r="S56" s="24">
        <f t="shared" si="37"/>
        <v>5.0505050505050449E-2</v>
      </c>
      <c r="T56" s="17">
        <f t="shared" si="38"/>
        <v>32.44444444444445</v>
      </c>
      <c r="U56" s="24">
        <f t="shared" si="39"/>
        <v>8.8888888888888906E-2</v>
      </c>
      <c r="V56" s="17">
        <f t="shared" si="40"/>
        <v>5.6000000000000014</v>
      </c>
      <c r="W56" s="1">
        <f t="shared" si="41"/>
        <v>167.23940435280645</v>
      </c>
      <c r="X56" s="17">
        <f t="shared" si="42"/>
        <v>0.45819014891179849</v>
      </c>
      <c r="Y56" s="21">
        <f>100*(LN(N56)-LN(F56))/(63-0)</f>
        <v>0.40254406158558448</v>
      </c>
      <c r="AA56" s="2">
        <f>[1]Tabelle1!K14</f>
        <v>3.8465951052453695</v>
      </c>
      <c r="AB56" s="2">
        <v>21.511163527953929</v>
      </c>
      <c r="AC56" s="2">
        <f t="shared" si="43"/>
        <v>0.26032994415772798</v>
      </c>
      <c r="AE56">
        <f t="shared" si="44"/>
        <v>428.41612399052093</v>
      </c>
      <c r="AF56">
        <f t="shared" si="45"/>
        <v>19.29802360317662</v>
      </c>
    </row>
    <row r="57" spans="1:32" x14ac:dyDescent="0.25">
      <c r="A57" s="70"/>
      <c r="B57" s="2">
        <f t="shared" si="11"/>
        <v>44</v>
      </c>
      <c r="C57" s="32">
        <v>41621</v>
      </c>
      <c r="D57" s="4">
        <v>12.6</v>
      </c>
      <c r="E57" s="4">
        <v>11.2</v>
      </c>
      <c r="F57" s="33">
        <v>20.7</v>
      </c>
      <c r="G57" s="45"/>
      <c r="H57" s="4">
        <v>12.9</v>
      </c>
      <c r="I57" s="4">
        <v>11.5</v>
      </c>
      <c r="J57" s="33">
        <v>27.4</v>
      </c>
      <c r="K57" s="49">
        <v>41683</v>
      </c>
      <c r="L57" s="50">
        <v>13</v>
      </c>
      <c r="M57" s="50">
        <v>11.6</v>
      </c>
      <c r="N57" s="51">
        <v>27.1</v>
      </c>
      <c r="O57">
        <v>63</v>
      </c>
      <c r="P57">
        <f t="shared" si="35"/>
        <v>23.9</v>
      </c>
      <c r="R57" s="24">
        <f t="shared" si="36"/>
        <v>5.039052658100282E-2</v>
      </c>
      <c r="S57" s="24">
        <f t="shared" si="37"/>
        <v>5.6689342403628176E-2</v>
      </c>
      <c r="T57" s="17">
        <f t="shared" si="38"/>
        <v>37.07936507936509</v>
      </c>
      <c r="U57" s="24">
        <f t="shared" si="39"/>
        <v>0.10158730158730161</v>
      </c>
      <c r="V57" s="17">
        <f t="shared" si="40"/>
        <v>6.4000000000000021</v>
      </c>
      <c r="W57" s="1">
        <f t="shared" si="41"/>
        <v>179.12736753316469</v>
      </c>
      <c r="X57" s="17">
        <f t="shared" si="42"/>
        <v>0.49075991104976624</v>
      </c>
      <c r="Y57" s="21">
        <f>100*(LN(N57)-LN(F57))/(63-0)</f>
        <v>0.42761909145132027</v>
      </c>
      <c r="AA57" s="2">
        <f>[1]Tabelle1!K15</f>
        <v>3.5045212822794354</v>
      </c>
      <c r="AB57" s="2">
        <v>19.598197451951194</v>
      </c>
      <c r="AC57" s="2">
        <f t="shared" si="43"/>
        <v>0.3265606449619079</v>
      </c>
      <c r="AE57">
        <f t="shared" si="44"/>
        <v>489.61842741773842</v>
      </c>
      <c r="AF57">
        <f t="shared" si="45"/>
        <v>20.48612667019826</v>
      </c>
    </row>
    <row r="58" spans="1:32" x14ac:dyDescent="0.25">
      <c r="A58" s="70"/>
      <c r="B58" s="2">
        <f t="shared" si="11"/>
        <v>45</v>
      </c>
      <c r="C58" s="32">
        <v>41625</v>
      </c>
      <c r="D58" s="4">
        <v>11.8</v>
      </c>
      <c r="E58" s="4">
        <v>10.4</v>
      </c>
      <c r="F58" s="33">
        <v>16.899999999999999</v>
      </c>
      <c r="G58" s="45"/>
      <c r="H58" s="4">
        <v>12</v>
      </c>
      <c r="I58" s="4">
        <v>10.7</v>
      </c>
      <c r="J58" s="48">
        <v>21.8</v>
      </c>
      <c r="K58" s="49">
        <v>41677</v>
      </c>
      <c r="L58" s="50">
        <v>12.2</v>
      </c>
      <c r="M58" s="50">
        <v>10.9</v>
      </c>
      <c r="N58" s="51">
        <v>24</v>
      </c>
      <c r="O58">
        <v>53</v>
      </c>
      <c r="P58">
        <f t="shared" si="35"/>
        <v>20.45</v>
      </c>
      <c r="R58" s="24">
        <f t="shared" si="36"/>
        <v>6.395906619763328E-2</v>
      </c>
      <c r="S58" s="24">
        <f t="shared" si="37"/>
        <v>9.071117561683599E-2</v>
      </c>
      <c r="T58" s="17">
        <f t="shared" si="38"/>
        <v>48.896226415094347</v>
      </c>
      <c r="U58" s="24">
        <f t="shared" si="39"/>
        <v>0.13396226415094342</v>
      </c>
      <c r="V58" s="17">
        <f t="shared" si="40"/>
        <v>7.1000000000000014</v>
      </c>
      <c r="W58" s="1">
        <f t="shared" si="41"/>
        <v>289.32678352126834</v>
      </c>
      <c r="X58" s="17">
        <f t="shared" si="42"/>
        <v>0.79267611923635162</v>
      </c>
      <c r="Y58" s="21">
        <f>100*(LN(N58)-LN(F58))/(53-0)</f>
        <v>0.66177397814890215</v>
      </c>
      <c r="AA58" s="2">
        <f>[1]Tabelle1!K16</f>
        <v>2.4352267873676015</v>
      </c>
      <c r="AB58" s="2">
        <v>13.618423623345411</v>
      </c>
      <c r="AC58" s="2">
        <f t="shared" si="43"/>
        <v>0.52135255859046792</v>
      </c>
      <c r="AE58">
        <f t="shared" si="44"/>
        <v>645.65543214609193</v>
      </c>
      <c r="AF58">
        <f t="shared" si="45"/>
        <v>31.572392769980045</v>
      </c>
    </row>
    <row r="59" spans="1:32" x14ac:dyDescent="0.25">
      <c r="A59" s="70"/>
      <c r="B59" s="2">
        <f t="shared" si="11"/>
        <v>46</v>
      </c>
      <c r="C59" s="32">
        <v>41625</v>
      </c>
      <c r="D59" s="4">
        <v>14.8</v>
      </c>
      <c r="E59" s="4">
        <v>13.2</v>
      </c>
      <c r="F59" s="33">
        <v>33.4</v>
      </c>
      <c r="G59" s="45"/>
      <c r="H59" s="4">
        <v>14.9</v>
      </c>
      <c r="I59" s="4">
        <v>13.4</v>
      </c>
      <c r="J59" s="33">
        <v>39.299999999999997</v>
      </c>
      <c r="K59" s="49">
        <v>41677</v>
      </c>
      <c r="L59" s="50">
        <v>15</v>
      </c>
      <c r="M59" s="50">
        <v>13.4</v>
      </c>
      <c r="N59" s="51">
        <v>40</v>
      </c>
      <c r="O59">
        <v>53</v>
      </c>
      <c r="P59">
        <f t="shared" si="35"/>
        <v>36.700000000000003</v>
      </c>
      <c r="R59" s="24">
        <f t="shared" si="36"/>
        <v>2.549719530851597E-2</v>
      </c>
      <c r="S59" s="24">
        <f t="shared" si="37"/>
        <v>2.8587764436821195E-2</v>
      </c>
      <c r="T59" s="17">
        <f t="shared" si="38"/>
        <v>45.452830188679258</v>
      </c>
      <c r="U59" s="24">
        <f t="shared" si="39"/>
        <v>0.12452830188679248</v>
      </c>
      <c r="V59" s="17">
        <f t="shared" si="40"/>
        <v>6.6000000000000014</v>
      </c>
      <c r="W59" s="1">
        <f t="shared" si="41"/>
        <v>136.08631793017742</v>
      </c>
      <c r="X59" s="17">
        <f t="shared" si="42"/>
        <v>0.37283922720596552</v>
      </c>
      <c r="Y59" s="21">
        <f>100*(LN(N59)-LN(F59))/(53-0)</f>
        <v>0.34023312100241843</v>
      </c>
      <c r="AA59" s="2">
        <f>[1]Tabelle1!K17</f>
        <v>1.9723576879089175</v>
      </c>
      <c r="AB59" s="2">
        <v>11.029938841852562</v>
      </c>
      <c r="AC59" s="2">
        <f t="shared" si="43"/>
        <v>0.59837140483106077</v>
      </c>
      <c r="AE59">
        <f t="shared" si="44"/>
        <v>600.18673974143735</v>
      </c>
      <c r="AF59">
        <f t="shared" si="45"/>
        <v>16.353862118295293</v>
      </c>
    </row>
    <row r="60" spans="1:32" x14ac:dyDescent="0.25">
      <c r="A60" s="70"/>
      <c r="B60" s="2">
        <f t="shared" si="11"/>
        <v>47</v>
      </c>
      <c r="C60" s="32">
        <v>41625</v>
      </c>
      <c r="D60" s="4">
        <v>8.1</v>
      </c>
      <c r="E60" s="4">
        <v>7</v>
      </c>
      <c r="F60" s="33">
        <v>4.9000000000000004</v>
      </c>
      <c r="G60" s="45"/>
      <c r="H60" s="4">
        <v>8.3000000000000007</v>
      </c>
      <c r="I60" s="4">
        <v>7.2</v>
      </c>
      <c r="J60" s="33">
        <v>6.4</v>
      </c>
      <c r="K60" s="49">
        <v>41677</v>
      </c>
      <c r="L60" s="50">
        <v>8.4</v>
      </c>
      <c r="M60" s="50">
        <v>7.4</v>
      </c>
      <c r="N60" s="51">
        <v>6.6</v>
      </c>
      <c r="O60">
        <v>53</v>
      </c>
      <c r="P60">
        <f t="shared" si="35"/>
        <v>5.75</v>
      </c>
      <c r="R60" s="24">
        <f t="shared" si="36"/>
        <v>6.9881201956673827E-2</v>
      </c>
      <c r="S60" s="24">
        <f t="shared" si="37"/>
        <v>0.1078167115902966</v>
      </c>
      <c r="T60" s="17">
        <f t="shared" si="38"/>
        <v>11.707547169811315</v>
      </c>
      <c r="U60" s="24">
        <f t="shared" si="39"/>
        <v>3.2075471698113193E-2</v>
      </c>
      <c r="V60" s="17">
        <f t="shared" si="40"/>
        <v>1.6999999999999993</v>
      </c>
      <c r="W60" s="1">
        <f t="shared" si="41"/>
        <v>238.92953407778191</v>
      </c>
      <c r="X60" s="17">
        <f t="shared" si="42"/>
        <v>0.6546014632267998</v>
      </c>
      <c r="Y60" s="21">
        <f>100*(LN(N60)-LN(F60))/(53-0)</f>
        <v>0.56195178097320508</v>
      </c>
      <c r="AA60" s="2">
        <f>[1]Tabelle1!K18</f>
        <v>0.35811998465225975</v>
      </c>
      <c r="AB60" s="2">
        <v>2.0027003991083459</v>
      </c>
      <c r="AC60" s="2">
        <f t="shared" si="43"/>
        <v>0.84885387787253819</v>
      </c>
      <c r="AE60">
        <f t="shared" si="44"/>
        <v>154.59355417582469</v>
      </c>
      <c r="AF60">
        <f t="shared" si="45"/>
        <v>26.885835508839076</v>
      </c>
    </row>
    <row r="61" spans="1:32" s="5" customFormat="1" x14ac:dyDescent="0.25">
      <c r="A61" s="70"/>
      <c r="B61" s="3">
        <f>B60+1</f>
        <v>48</v>
      </c>
      <c r="C61" s="32">
        <v>41625</v>
      </c>
      <c r="D61" s="4">
        <v>7.9</v>
      </c>
      <c r="E61" s="4">
        <v>7</v>
      </c>
      <c r="F61" s="33">
        <v>4.5999999999999996</v>
      </c>
      <c r="G61" s="45"/>
      <c r="H61" s="4">
        <v>8.15</v>
      </c>
      <c r="I61" s="4">
        <v>7.15</v>
      </c>
      <c r="J61" s="33">
        <v>5.0999999999999996</v>
      </c>
      <c r="K61" s="49">
        <v>41677</v>
      </c>
      <c r="L61" s="50">
        <v>8.15</v>
      </c>
      <c r="M61" s="50">
        <v>7.15</v>
      </c>
      <c r="N61" s="51">
        <v>4.7</v>
      </c>
      <c r="O61">
        <v>53</v>
      </c>
      <c r="P61" s="5">
        <f t="shared" si="35"/>
        <v>4.6500000000000004</v>
      </c>
      <c r="R61" s="24">
        <f t="shared" si="36"/>
        <v>5.9708621925005971E-2</v>
      </c>
      <c r="S61" s="24">
        <f t="shared" si="37"/>
        <v>4.043126684636128E-2</v>
      </c>
      <c r="T61" s="17">
        <f t="shared" si="38"/>
        <v>0.68867924528302249</v>
      </c>
      <c r="U61" s="24">
        <f t="shared" si="39"/>
        <v>1.8867924528301987E-3</v>
      </c>
      <c r="V61" s="17">
        <f t="shared" si="40"/>
        <v>0.10000000000000053</v>
      </c>
      <c r="W61" s="1">
        <f t="shared" si="41"/>
        <v>14.971287940935273</v>
      </c>
      <c r="X61" s="17">
        <f t="shared" si="42"/>
        <v>4.1017227235439102E-2</v>
      </c>
      <c r="Y61" s="21">
        <f>100*(LN(N61)-LN(F61))/(53-0)</f>
        <v>4.0577745699931701E-2</v>
      </c>
      <c r="Z61" s="21"/>
      <c r="AA61" s="3">
        <f>[1]Tabelle1!K19</f>
        <v>0.30572254907525698</v>
      </c>
      <c r="AB61" s="3">
        <v>1.7096802671986113</v>
      </c>
      <c r="AC61" s="3">
        <f t="shared" si="43"/>
        <v>5.8490468608996156E-2</v>
      </c>
      <c r="AD61" s="3"/>
      <c r="AE61">
        <f t="shared" si="44"/>
        <v>9.0937384809309183</v>
      </c>
      <c r="AF61" s="5">
        <f t="shared" si="45"/>
        <v>1.9556426840711651</v>
      </c>
    </row>
    <row r="62" spans="1:32" s="6" customFormat="1" x14ac:dyDescent="0.25">
      <c r="A62" s="70"/>
      <c r="B62" s="9"/>
      <c r="C62" s="34" t="s">
        <v>1</v>
      </c>
      <c r="D62" s="8">
        <f>AVERAGE(D50:D61)</f>
        <v>12.491666666666667</v>
      </c>
      <c r="E62" s="8">
        <f t="shared" ref="E62:F62" si="46">AVERAGE(E50:E61)</f>
        <v>11.075000000000003</v>
      </c>
      <c r="F62" s="35">
        <f t="shared" si="46"/>
        <v>22.816666666666666</v>
      </c>
      <c r="G62" s="34"/>
      <c r="J62" s="47"/>
      <c r="K62" s="34"/>
      <c r="N62" s="47"/>
      <c r="Q62" s="6" t="s">
        <v>1</v>
      </c>
      <c r="R62" s="53">
        <f>AVERAGE(R50:R61)</f>
        <v>5.2925545499841208E-2</v>
      </c>
      <c r="S62" s="53">
        <f t="shared" ref="S62:W62" si="47">AVERAGE(S50:S61)</f>
        <v>4.7445493471073276E-2</v>
      </c>
      <c r="T62" s="8">
        <f t="shared" si="47"/>
        <v>28.114942299703415</v>
      </c>
      <c r="U62" s="53">
        <f t="shared" ref="U62" si="48">AVERAGE(U50:U61)</f>
        <v>7.7027239177269613E-2</v>
      </c>
      <c r="V62" s="8"/>
      <c r="W62" s="8">
        <f t="shared" si="47"/>
        <v>128.91737468582775</v>
      </c>
      <c r="X62" s="8">
        <f t="shared" ref="X62" si="49">AVERAGE(X50:X61)</f>
        <v>0.35319828681048704</v>
      </c>
      <c r="Y62" s="22">
        <f t="shared" ref="Y62:AF62" si="50">AVERAGE(Y50:Y61)</f>
        <v>0.31230990206890746</v>
      </c>
      <c r="Z62" s="22"/>
      <c r="AA62" s="22">
        <f t="shared" si="50"/>
        <v>2.4416505229425161</v>
      </c>
      <c r="AB62" s="22"/>
      <c r="AC62" s="22">
        <f t="shared" si="50"/>
        <v>0.35006014453899725</v>
      </c>
      <c r="AD62" s="22"/>
      <c r="AE62" s="6">
        <f t="shared" si="50"/>
        <v>371.24675156268739</v>
      </c>
      <c r="AF62" s="6">
        <f t="shared" si="50"/>
        <v>14.972856286866483</v>
      </c>
    </row>
    <row r="63" spans="1:32" s="14" customFormat="1" x14ac:dyDescent="0.25">
      <c r="A63" s="70"/>
      <c r="B63" s="16"/>
      <c r="C63" s="36"/>
      <c r="F63" s="37"/>
      <c r="G63" s="36"/>
      <c r="J63" s="37"/>
      <c r="K63" s="36"/>
      <c r="N63" s="37"/>
      <c r="R63" s="54"/>
      <c r="S63" s="54"/>
      <c r="T63" s="15"/>
      <c r="U63" s="54"/>
      <c r="V63" s="15"/>
      <c r="W63" s="15"/>
      <c r="X63" s="15"/>
      <c r="Y63" s="19"/>
      <c r="Z63" s="19"/>
      <c r="AA63" s="19"/>
      <c r="AB63" s="19"/>
      <c r="AC63" s="19"/>
      <c r="AD63" s="19"/>
    </row>
    <row r="64" spans="1:32" s="14" customFormat="1" x14ac:dyDescent="0.25">
      <c r="A64" s="70"/>
      <c r="B64" s="16"/>
      <c r="C64" s="36"/>
      <c r="F64" s="37"/>
      <c r="G64" s="36"/>
      <c r="J64" s="37"/>
      <c r="K64" s="36"/>
      <c r="N64" s="37"/>
      <c r="Q64" s="16"/>
      <c r="R64" s="55"/>
      <c r="S64" s="55"/>
      <c r="T64" s="19"/>
      <c r="U64" s="19"/>
      <c r="V64" s="19"/>
      <c r="W64" s="19"/>
      <c r="X64" s="19"/>
      <c r="Y64" s="21"/>
      <c r="Z64" s="21"/>
      <c r="AA64" s="16"/>
      <c r="AB64" s="16"/>
      <c r="AC64" s="16"/>
      <c r="AD64" s="16"/>
    </row>
    <row r="65" spans="1:30" s="7" customFormat="1" ht="15.75" thickBot="1" x14ac:dyDescent="0.3">
      <c r="A65" s="71"/>
      <c r="B65" s="10"/>
      <c r="C65" s="38"/>
      <c r="F65" s="39"/>
      <c r="G65" s="38"/>
      <c r="J65" s="39"/>
      <c r="K65" s="38"/>
      <c r="N65" s="39"/>
      <c r="Q65" s="10"/>
      <c r="R65" s="56"/>
      <c r="S65" s="56"/>
      <c r="T65" s="20"/>
      <c r="U65" s="20"/>
      <c r="V65" s="20"/>
      <c r="W65" s="20"/>
      <c r="X65" s="20"/>
      <c r="Y65" s="23"/>
      <c r="Z65" s="23"/>
      <c r="AA65" s="10"/>
      <c r="AB65" s="10"/>
      <c r="AC65" s="10"/>
      <c r="AD65" s="10"/>
    </row>
    <row r="66" spans="1:30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30" x14ac:dyDescent="0.25">
      <c r="C67" s="5"/>
      <c r="D67" s="5"/>
      <c r="E67" s="4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30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30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30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</sheetData>
  <mergeCells count="4">
    <mergeCell ref="A34:A47"/>
    <mergeCell ref="A2:A17"/>
    <mergeCell ref="A18:A33"/>
    <mergeCell ref="A50:A6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growth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Sandersfeld</dc:creator>
  <cp:lastModifiedBy>Tina Sandersfeld</cp:lastModifiedBy>
  <cp:lastPrinted>2014-01-13T04:08:42Z</cp:lastPrinted>
  <dcterms:created xsi:type="dcterms:W3CDTF">2013-12-09T23:40:03Z</dcterms:created>
  <dcterms:modified xsi:type="dcterms:W3CDTF">2016-03-01T07:56:15Z</dcterms:modified>
</cp:coreProperties>
</file>