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440" windowHeight="8016"/>
  </bookViews>
  <sheets>
    <sheet name="Introduction" sheetId="15" r:id="rId1"/>
    <sheet name="Growth" sheetId="2" r:id="rId2"/>
    <sheet name="Cell Size" sheetId="1" r:id="rId3"/>
    <sheet name="YTX" sheetId="16" r:id="rId4"/>
    <sheet name="YTX roh data" sheetId="14" r:id="rId5"/>
    <sheet name="bioassay PR3" sheetId="17" r:id="rId6"/>
    <sheet name="bioassay strains" sheetId="18" r:id="rId7"/>
  </sheets>
  <calcPr calcId="145621"/>
</workbook>
</file>

<file path=xl/calcChain.xml><?xml version="1.0" encoding="utf-8"?>
<calcChain xmlns="http://schemas.openxmlformats.org/spreadsheetml/2006/main">
  <c r="L47" i="16" l="1"/>
  <c r="K47" i="16"/>
  <c r="G47" i="16"/>
  <c r="F47" i="16"/>
  <c r="L46" i="16"/>
  <c r="K46" i="16"/>
  <c r="G46" i="16"/>
  <c r="F46" i="16"/>
  <c r="L45" i="16"/>
  <c r="K45" i="16"/>
  <c r="G45" i="16"/>
  <c r="F45" i="16"/>
  <c r="L44" i="16"/>
  <c r="K44" i="16"/>
  <c r="G44" i="16"/>
  <c r="F44" i="16"/>
  <c r="L43" i="16"/>
  <c r="K43" i="16"/>
  <c r="G43" i="16"/>
  <c r="F43" i="16"/>
  <c r="L42" i="16"/>
  <c r="K42" i="16"/>
  <c r="G42" i="16"/>
  <c r="F42" i="16"/>
  <c r="L36" i="16"/>
  <c r="K36" i="16"/>
  <c r="G36" i="16"/>
  <c r="F36" i="16"/>
  <c r="L35" i="16"/>
  <c r="K35" i="16"/>
  <c r="G35" i="16"/>
  <c r="F35" i="16"/>
  <c r="L34" i="16"/>
  <c r="K34" i="16"/>
  <c r="G34" i="16"/>
  <c r="F34" i="16"/>
  <c r="L33" i="16"/>
  <c r="K33" i="16"/>
  <c r="G33" i="16"/>
  <c r="F33" i="16"/>
  <c r="L32" i="16"/>
  <c r="K32" i="16"/>
  <c r="G32" i="16"/>
  <c r="F32" i="16"/>
  <c r="L31" i="16"/>
  <c r="K31" i="16"/>
  <c r="G31" i="16"/>
  <c r="F31" i="16"/>
  <c r="L23" i="16"/>
  <c r="K23" i="16"/>
  <c r="G23" i="16"/>
  <c r="F23" i="16"/>
  <c r="L22" i="16"/>
  <c r="K22" i="16"/>
  <c r="G22" i="16"/>
  <c r="F22" i="16"/>
  <c r="L21" i="16"/>
  <c r="K21" i="16"/>
  <c r="G21" i="16"/>
  <c r="F21" i="16"/>
  <c r="L20" i="16"/>
  <c r="K20" i="16"/>
  <c r="G20" i="16"/>
  <c r="F20" i="16"/>
  <c r="L19" i="16"/>
  <c r="K19" i="16"/>
  <c r="G19" i="16"/>
  <c r="F19" i="16"/>
  <c r="L13" i="16"/>
  <c r="K13" i="16"/>
  <c r="G13" i="16"/>
  <c r="F13" i="16"/>
  <c r="L12" i="16"/>
  <c r="K12" i="16"/>
  <c r="G12" i="16"/>
  <c r="F12" i="16"/>
  <c r="L11" i="16"/>
  <c r="K11" i="16"/>
  <c r="G11" i="16"/>
  <c r="F11" i="16"/>
  <c r="L10" i="16"/>
  <c r="K10" i="16"/>
  <c r="G10" i="16"/>
  <c r="F10" i="16"/>
  <c r="L9" i="16"/>
  <c r="K9" i="16"/>
  <c r="G9" i="16"/>
  <c r="F9" i="16"/>
  <c r="B120" i="2"/>
  <c r="B119" i="2"/>
  <c r="P118" i="2"/>
  <c r="O118" i="2"/>
  <c r="O120" i="2" s="1"/>
  <c r="N118" i="2"/>
  <c r="N119" i="2" s="1"/>
  <c r="M118" i="2"/>
  <c r="L118" i="2"/>
  <c r="K118" i="2"/>
  <c r="J118" i="2"/>
  <c r="I118" i="2"/>
  <c r="H118" i="2"/>
  <c r="G118" i="2"/>
  <c r="F118" i="2"/>
  <c r="F120" i="2" s="1"/>
  <c r="E118" i="2"/>
  <c r="D118" i="2"/>
  <c r="C118" i="2"/>
  <c r="C120" i="2" s="1"/>
  <c r="P117" i="2"/>
  <c r="O117" i="2"/>
  <c r="N117" i="2"/>
  <c r="M117" i="2"/>
  <c r="L117" i="2"/>
  <c r="L119" i="2" s="1"/>
  <c r="K117" i="2"/>
  <c r="J117" i="2"/>
  <c r="J120" i="2" s="1"/>
  <c r="I117" i="2"/>
  <c r="H117" i="2"/>
  <c r="G117" i="2"/>
  <c r="F117" i="2"/>
  <c r="E117" i="2"/>
  <c r="D117" i="2"/>
  <c r="C117" i="2"/>
  <c r="P116" i="2"/>
  <c r="P120" i="2"/>
  <c r="O116" i="2"/>
  <c r="O119" i="2" s="1"/>
  <c r="N116" i="2"/>
  <c r="M116" i="2"/>
  <c r="M119" i="2" s="1"/>
  <c r="L116" i="2"/>
  <c r="L120" i="2"/>
  <c r="K116" i="2"/>
  <c r="K119" i="2" s="1"/>
  <c r="J116" i="2"/>
  <c r="J119" i="2"/>
  <c r="I116" i="2"/>
  <c r="I119" i="2" s="1"/>
  <c r="H116" i="2"/>
  <c r="H119" i="2" s="1"/>
  <c r="H120" i="2"/>
  <c r="G116" i="2"/>
  <c r="G119" i="2" s="1"/>
  <c r="F116" i="2"/>
  <c r="E116" i="2"/>
  <c r="E119" i="2" s="1"/>
  <c r="D116" i="2"/>
  <c r="D119" i="2" s="1"/>
  <c r="D120" i="2"/>
  <c r="C116" i="2"/>
  <c r="C119" i="2" s="1"/>
  <c r="B109" i="2"/>
  <c r="B108" i="2"/>
  <c r="S107" i="2"/>
  <c r="S108" i="2" s="1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S106" i="2"/>
  <c r="R106" i="2"/>
  <c r="R108" i="2" s="1"/>
  <c r="Q106" i="2"/>
  <c r="Q108" i="2" s="1"/>
  <c r="P106" i="2"/>
  <c r="O106" i="2"/>
  <c r="N106" i="2"/>
  <c r="M106" i="2"/>
  <c r="M109" i="2" s="1"/>
  <c r="L106" i="2"/>
  <c r="K106" i="2"/>
  <c r="J106" i="2"/>
  <c r="J108" i="2" s="1"/>
  <c r="I106" i="2"/>
  <c r="I108" i="2" s="1"/>
  <c r="H106" i="2"/>
  <c r="G106" i="2"/>
  <c r="F106" i="2"/>
  <c r="E106" i="2"/>
  <c r="D106" i="2"/>
  <c r="C106" i="2"/>
  <c r="S105" i="2"/>
  <c r="S109" i="2"/>
  <c r="R105" i="2"/>
  <c r="R109" i="2" s="1"/>
  <c r="Q105" i="2"/>
  <c r="P105" i="2"/>
  <c r="P108" i="2" s="1"/>
  <c r="O105" i="2"/>
  <c r="O108" i="2" s="1"/>
  <c r="O109" i="2"/>
  <c r="N105" i="2"/>
  <c r="N109" i="2" s="1"/>
  <c r="M105" i="2"/>
  <c r="M108" i="2"/>
  <c r="L105" i="2"/>
  <c r="L108" i="2" s="1"/>
  <c r="K105" i="2"/>
  <c r="K108" i="2" s="1"/>
  <c r="K109" i="2"/>
  <c r="J105" i="2"/>
  <c r="J109" i="2" s="1"/>
  <c r="I105" i="2"/>
  <c r="I109" i="2" s="1"/>
  <c r="H105" i="2"/>
  <c r="H108" i="2" s="1"/>
  <c r="G105" i="2"/>
  <c r="G108" i="2" s="1"/>
  <c r="G109" i="2"/>
  <c r="F105" i="2"/>
  <c r="F109" i="2" s="1"/>
  <c r="E105" i="2"/>
  <c r="E108" i="2"/>
  <c r="D105" i="2"/>
  <c r="D109" i="2" s="1"/>
  <c r="C105" i="2"/>
  <c r="C109" i="2"/>
  <c r="B98" i="2"/>
  <c r="B97" i="2"/>
  <c r="M96" i="2"/>
  <c r="L96" i="2"/>
  <c r="K96" i="2"/>
  <c r="J96" i="2"/>
  <c r="I96" i="2"/>
  <c r="I97" i="2" s="1"/>
  <c r="H96" i="2"/>
  <c r="H98" i="2" s="1"/>
  <c r="G96" i="2"/>
  <c r="F96" i="2"/>
  <c r="E96" i="2"/>
  <c r="D96" i="2"/>
  <c r="C96" i="2"/>
  <c r="M95" i="2"/>
  <c r="L95" i="2"/>
  <c r="K95" i="2"/>
  <c r="K97" i="2" s="1"/>
  <c r="J95" i="2"/>
  <c r="I95" i="2"/>
  <c r="H95" i="2"/>
  <c r="G95" i="2"/>
  <c r="F95" i="2"/>
  <c r="E95" i="2"/>
  <c r="D95" i="2"/>
  <c r="C95" i="2"/>
  <c r="M94" i="2"/>
  <c r="M98" i="2" s="1"/>
  <c r="L94" i="2"/>
  <c r="L98" i="2"/>
  <c r="K94" i="2"/>
  <c r="K98" i="2" s="1"/>
  <c r="J94" i="2"/>
  <c r="J97" i="2" s="1"/>
  <c r="J98" i="2"/>
  <c r="I94" i="2"/>
  <c r="I98" i="2" s="1"/>
  <c r="H94" i="2"/>
  <c r="G94" i="2"/>
  <c r="G97" i="2" s="1"/>
  <c r="F94" i="2"/>
  <c r="F97" i="2" s="1"/>
  <c r="F98" i="2"/>
  <c r="E94" i="2"/>
  <c r="E98" i="2" s="1"/>
  <c r="D94" i="2"/>
  <c r="D97" i="2" s="1"/>
  <c r="D98" i="2"/>
  <c r="C94" i="2"/>
  <c r="C97" i="2" s="1"/>
  <c r="F87" i="2"/>
  <c r="B87" i="2"/>
  <c r="J86" i="2"/>
  <c r="F86" i="2"/>
  <c r="B86" i="2"/>
  <c r="N85" i="2"/>
  <c r="M85" i="2"/>
  <c r="L85" i="2"/>
  <c r="K85" i="2"/>
  <c r="J85" i="2"/>
  <c r="I85" i="2"/>
  <c r="H85" i="2"/>
  <c r="H87" i="2" s="1"/>
  <c r="G85" i="2"/>
  <c r="F85" i="2"/>
  <c r="E85" i="2"/>
  <c r="D85" i="2"/>
  <c r="C85" i="2"/>
  <c r="N84" i="2"/>
  <c r="M84" i="2"/>
  <c r="M86" i="2" s="1"/>
  <c r="L84" i="2"/>
  <c r="L87" i="2" s="1"/>
  <c r="K84" i="2"/>
  <c r="J84" i="2"/>
  <c r="I84" i="2"/>
  <c r="I87" i="2" s="1"/>
  <c r="H84" i="2"/>
  <c r="G84" i="2"/>
  <c r="F84" i="2"/>
  <c r="E84" i="2"/>
  <c r="D84" i="2"/>
  <c r="D86" i="2" s="1"/>
  <c r="C84" i="2"/>
  <c r="N83" i="2"/>
  <c r="N86" i="2" s="1"/>
  <c r="N87" i="2"/>
  <c r="M83" i="2"/>
  <c r="M87" i="2" s="1"/>
  <c r="L83" i="2"/>
  <c r="L86" i="2" s="1"/>
  <c r="K83" i="2"/>
  <c r="K87" i="2" s="1"/>
  <c r="J83" i="2"/>
  <c r="J87" i="2"/>
  <c r="I83" i="2"/>
  <c r="I86" i="2" s="1"/>
  <c r="H83" i="2"/>
  <c r="G83" i="2"/>
  <c r="G86" i="2" s="1"/>
  <c r="F83" i="2"/>
  <c r="E83" i="2"/>
  <c r="E87" i="2" s="1"/>
  <c r="D83" i="2"/>
  <c r="C83" i="2"/>
  <c r="C87" i="2" s="1"/>
  <c r="C86" i="2"/>
  <c r="B76" i="2"/>
  <c r="K75" i="2"/>
  <c r="B75" i="2"/>
  <c r="N74" i="2"/>
  <c r="M74" i="2"/>
  <c r="L74" i="2"/>
  <c r="K74" i="2"/>
  <c r="J74" i="2"/>
  <c r="I74" i="2"/>
  <c r="H74" i="2"/>
  <c r="G74" i="2"/>
  <c r="F74" i="2"/>
  <c r="E74" i="2"/>
  <c r="D74" i="2"/>
  <c r="D75" i="2" s="1"/>
  <c r="C74" i="2"/>
  <c r="N73" i="2"/>
  <c r="M73" i="2"/>
  <c r="L73" i="2"/>
  <c r="L76" i="2" s="1"/>
  <c r="K73" i="2"/>
  <c r="J73" i="2"/>
  <c r="I73" i="2"/>
  <c r="H73" i="2"/>
  <c r="H76" i="2" s="1"/>
  <c r="G73" i="2"/>
  <c r="F73" i="2"/>
  <c r="E73" i="2"/>
  <c r="D73" i="2"/>
  <c r="D76" i="2" s="1"/>
  <c r="C73" i="2"/>
  <c r="N72" i="2"/>
  <c r="N76" i="2"/>
  <c r="M72" i="2"/>
  <c r="M76" i="2" s="1"/>
  <c r="L72" i="2"/>
  <c r="K72" i="2"/>
  <c r="K76" i="2"/>
  <c r="J72" i="2"/>
  <c r="J75" i="2"/>
  <c r="I72" i="2"/>
  <c r="I75" i="2" s="1"/>
  <c r="H72" i="2"/>
  <c r="H75" i="2" s="1"/>
  <c r="G72" i="2"/>
  <c r="G75" i="2" s="1"/>
  <c r="G76" i="2"/>
  <c r="F72" i="2"/>
  <c r="F75" i="2"/>
  <c r="E72" i="2"/>
  <c r="E76" i="2" s="1"/>
  <c r="D72" i="2"/>
  <c r="C72" i="2"/>
  <c r="C75" i="2" s="1"/>
  <c r="C76" i="2"/>
  <c r="F65" i="2"/>
  <c r="E65" i="2"/>
  <c r="B65" i="2"/>
  <c r="F64" i="2"/>
  <c r="E64" i="2"/>
  <c r="B64" i="2"/>
  <c r="C63" i="2"/>
  <c r="C64" i="2" s="1"/>
  <c r="C62" i="2"/>
  <c r="D61" i="2"/>
  <c r="D64" i="2" s="1"/>
  <c r="D65" i="2"/>
  <c r="C61" i="2"/>
  <c r="C65" i="2" s="1"/>
  <c r="B54" i="2"/>
  <c r="B53" i="2"/>
  <c r="K52" i="2"/>
  <c r="J52" i="2"/>
  <c r="I52" i="2"/>
  <c r="H52" i="2"/>
  <c r="H54" i="2" s="1"/>
  <c r="G52" i="2"/>
  <c r="F52" i="2"/>
  <c r="E52" i="2"/>
  <c r="D52" i="2"/>
  <c r="C52" i="2"/>
  <c r="K51" i="2"/>
  <c r="J51" i="2"/>
  <c r="J53" i="2" s="1"/>
  <c r="I51" i="2"/>
  <c r="I53" i="2" s="1"/>
  <c r="H51" i="2"/>
  <c r="G51" i="2"/>
  <c r="F51" i="2"/>
  <c r="F53" i="2" s="1"/>
  <c r="E51" i="2"/>
  <c r="E54" i="2" s="1"/>
  <c r="D51" i="2"/>
  <c r="C51" i="2"/>
  <c r="K50" i="2"/>
  <c r="K54" i="2"/>
  <c r="J50" i="2"/>
  <c r="J54" i="2" s="1"/>
  <c r="I50" i="2"/>
  <c r="I54" i="2" s="1"/>
  <c r="H50" i="2"/>
  <c r="H53" i="2" s="1"/>
  <c r="G50" i="2"/>
  <c r="G54" i="2"/>
  <c r="F50" i="2"/>
  <c r="F54" i="2" s="1"/>
  <c r="E50" i="2"/>
  <c r="E53" i="2"/>
  <c r="D50" i="2"/>
  <c r="D54" i="2" s="1"/>
  <c r="C50" i="2"/>
  <c r="C53" i="2" s="1"/>
  <c r="C54" i="2"/>
  <c r="B43" i="2"/>
  <c r="F42" i="2"/>
  <c r="D42" i="2"/>
  <c r="B42" i="2"/>
  <c r="J41" i="2"/>
  <c r="I41" i="2"/>
  <c r="H41" i="2"/>
  <c r="G41" i="2"/>
  <c r="F41" i="2"/>
  <c r="E41" i="2"/>
  <c r="D41" i="2"/>
  <c r="C41" i="2"/>
  <c r="J40" i="2"/>
  <c r="I40" i="2"/>
  <c r="H40" i="2"/>
  <c r="G40" i="2"/>
  <c r="F40" i="2"/>
  <c r="E40" i="2"/>
  <c r="D40" i="2"/>
  <c r="D43" i="2" s="1"/>
  <c r="C40" i="2"/>
  <c r="J39" i="2"/>
  <c r="J42" i="2" s="1"/>
  <c r="J43" i="2"/>
  <c r="I39" i="2"/>
  <c r="I43" i="2" s="1"/>
  <c r="H39" i="2"/>
  <c r="H42" i="2" s="1"/>
  <c r="H43" i="2"/>
  <c r="G39" i="2"/>
  <c r="G43" i="2" s="1"/>
  <c r="F39" i="2"/>
  <c r="F43" i="2"/>
  <c r="E39" i="2"/>
  <c r="E43" i="2" s="1"/>
  <c r="D39" i="2"/>
  <c r="C39" i="2"/>
  <c r="C43" i="2" s="1"/>
  <c r="B32" i="2"/>
  <c r="E31" i="2"/>
  <c r="B31" i="2"/>
  <c r="N30" i="2"/>
  <c r="M30" i="2"/>
  <c r="L30" i="2"/>
  <c r="K30" i="2"/>
  <c r="K31" i="2" s="1"/>
  <c r="J30" i="2"/>
  <c r="I30" i="2"/>
  <c r="I31" i="2" s="1"/>
  <c r="H30" i="2"/>
  <c r="H31" i="2" s="1"/>
  <c r="G30" i="2"/>
  <c r="F30" i="2"/>
  <c r="E30" i="2"/>
  <c r="D30" i="2"/>
  <c r="C30" i="2"/>
  <c r="N29" i="2"/>
  <c r="M29" i="2"/>
  <c r="L29" i="2"/>
  <c r="L32" i="2" s="1"/>
  <c r="K29" i="2"/>
  <c r="J29" i="2"/>
  <c r="I29" i="2"/>
  <c r="H29" i="2"/>
  <c r="G29" i="2"/>
  <c r="G31" i="2" s="1"/>
  <c r="F29" i="2"/>
  <c r="E29" i="2"/>
  <c r="E32" i="2" s="1"/>
  <c r="D29" i="2"/>
  <c r="D31" i="2" s="1"/>
  <c r="C29" i="2"/>
  <c r="N28" i="2"/>
  <c r="N32" i="2"/>
  <c r="M28" i="2"/>
  <c r="M31" i="2" s="1"/>
  <c r="L28" i="2"/>
  <c r="L31" i="2" s="1"/>
  <c r="K28" i="2"/>
  <c r="K32" i="2"/>
  <c r="J28" i="2"/>
  <c r="J32" i="2" s="1"/>
  <c r="I28" i="2"/>
  <c r="I32" i="2" s="1"/>
  <c r="H28" i="2"/>
  <c r="H32" i="2" s="1"/>
  <c r="G28" i="2"/>
  <c r="F28" i="2"/>
  <c r="F32" i="2" s="1"/>
  <c r="E28" i="2"/>
  <c r="D28" i="2"/>
  <c r="C28" i="2"/>
  <c r="C31" i="2" s="1"/>
  <c r="D21" i="2"/>
  <c r="B21" i="2"/>
  <c r="D20" i="2"/>
  <c r="B20" i="2"/>
  <c r="P19" i="2"/>
  <c r="P21" i="2" s="1"/>
  <c r="O19" i="2"/>
  <c r="O20" i="2" s="1"/>
  <c r="N19" i="2"/>
  <c r="M19" i="2"/>
  <c r="L19" i="2"/>
  <c r="K19" i="2"/>
  <c r="J19" i="2"/>
  <c r="I19" i="2"/>
  <c r="H19" i="2"/>
  <c r="H21" i="2" s="1"/>
  <c r="G19" i="2"/>
  <c r="G20" i="2" s="1"/>
  <c r="F19" i="2"/>
  <c r="E19" i="2"/>
  <c r="C19" i="2"/>
  <c r="P18" i="2"/>
  <c r="O18" i="2"/>
  <c r="N18" i="2"/>
  <c r="M18" i="2"/>
  <c r="L18" i="2"/>
  <c r="K18" i="2"/>
  <c r="J18" i="2"/>
  <c r="I18" i="2"/>
  <c r="H18" i="2"/>
  <c r="G18" i="2"/>
  <c r="F18" i="2"/>
  <c r="E18" i="2"/>
  <c r="C18" i="2"/>
  <c r="C21" i="2" s="1"/>
  <c r="P17" i="2"/>
  <c r="P20" i="2" s="1"/>
  <c r="O17" i="2"/>
  <c r="N17" i="2"/>
  <c r="N20" i="2" s="1"/>
  <c r="M17" i="2"/>
  <c r="M20" i="2"/>
  <c r="L17" i="2"/>
  <c r="L20" i="2" s="1"/>
  <c r="K17" i="2"/>
  <c r="K20" i="2"/>
  <c r="J17" i="2"/>
  <c r="J20" i="2" s="1"/>
  <c r="I17" i="2"/>
  <c r="I20" i="2"/>
  <c r="H17" i="2"/>
  <c r="H20" i="2" s="1"/>
  <c r="G17" i="2"/>
  <c r="G21" i="2" s="1"/>
  <c r="F17" i="2"/>
  <c r="F20" i="2" s="1"/>
  <c r="E17" i="2"/>
  <c r="E20" i="2"/>
  <c r="C17" i="2"/>
  <c r="C20" i="2" s="1"/>
  <c r="B10" i="2"/>
  <c r="B9" i="2"/>
  <c r="V8" i="2"/>
  <c r="U8" i="2"/>
  <c r="T8" i="2"/>
  <c r="T9" i="2" s="1"/>
  <c r="S8" i="2"/>
  <c r="R8" i="2"/>
  <c r="Q8" i="2"/>
  <c r="P8" i="2"/>
  <c r="P10" i="2" s="1"/>
  <c r="O8" i="2"/>
  <c r="N8" i="2"/>
  <c r="M8" i="2"/>
  <c r="L8" i="2"/>
  <c r="L9" i="2" s="1"/>
  <c r="K8" i="2"/>
  <c r="J8" i="2"/>
  <c r="I8" i="2"/>
  <c r="H8" i="2"/>
  <c r="H10" i="2" s="1"/>
  <c r="G8" i="2"/>
  <c r="F8" i="2"/>
  <c r="E8" i="2"/>
  <c r="D8" i="2"/>
  <c r="V7" i="2"/>
  <c r="U7" i="2"/>
  <c r="T7" i="2"/>
  <c r="T10" i="2" s="1"/>
  <c r="S7" i="2"/>
  <c r="R7" i="2"/>
  <c r="R9" i="2" s="1"/>
  <c r="Q7" i="2"/>
  <c r="P7" i="2"/>
  <c r="P9" i="2"/>
  <c r="O7" i="2"/>
  <c r="N7" i="2"/>
  <c r="N10" i="2" s="1"/>
  <c r="N9" i="2"/>
  <c r="M7" i="2"/>
  <c r="L7" i="2"/>
  <c r="K7" i="2"/>
  <c r="J7" i="2"/>
  <c r="J9" i="2"/>
  <c r="I7" i="2"/>
  <c r="I9" i="2" s="1"/>
  <c r="H7" i="2"/>
  <c r="H9" i="2" s="1"/>
  <c r="G7" i="2"/>
  <c r="F7" i="2"/>
  <c r="F10" i="2" s="1"/>
  <c r="E7" i="2"/>
  <c r="D7" i="2"/>
  <c r="D9" i="2" s="1"/>
  <c r="V6" i="2"/>
  <c r="V9" i="2" s="1"/>
  <c r="V10" i="2"/>
  <c r="U6" i="2"/>
  <c r="U9" i="2" s="1"/>
  <c r="U10" i="2"/>
  <c r="T6" i="2"/>
  <c r="S6" i="2"/>
  <c r="S10" i="2" s="1"/>
  <c r="R6" i="2"/>
  <c r="Q6" i="2"/>
  <c r="Q10" i="2" s="1"/>
  <c r="Q9" i="2"/>
  <c r="P6" i="2"/>
  <c r="O6" i="2"/>
  <c r="O10" i="2" s="1"/>
  <c r="N6" i="2"/>
  <c r="M6" i="2"/>
  <c r="M9" i="2"/>
  <c r="L6" i="2"/>
  <c r="K6" i="2"/>
  <c r="K10" i="2" s="1"/>
  <c r="J6" i="2"/>
  <c r="J10" i="2"/>
  <c r="I6" i="2"/>
  <c r="I10" i="2" s="1"/>
  <c r="H6" i="2"/>
  <c r="G6" i="2"/>
  <c r="G10" i="2" s="1"/>
  <c r="F6" i="2"/>
  <c r="F9" i="2" s="1"/>
  <c r="E6" i="2"/>
  <c r="E10" i="2" s="1"/>
  <c r="E9" i="2"/>
  <c r="D6" i="2"/>
  <c r="C6" i="2"/>
  <c r="C10" i="2" s="1"/>
  <c r="P119" i="2"/>
  <c r="M120" i="2"/>
  <c r="G120" i="2"/>
  <c r="F108" i="2"/>
  <c r="N108" i="2"/>
  <c r="H109" i="2"/>
  <c r="C108" i="2"/>
  <c r="E109" i="2"/>
  <c r="Q109" i="2"/>
  <c r="L97" i="2"/>
  <c r="E97" i="2"/>
  <c r="M97" i="2"/>
  <c r="H86" i="2"/>
  <c r="G87" i="2"/>
  <c r="F76" i="2"/>
  <c r="J76" i="2"/>
  <c r="N75" i="2"/>
  <c r="G53" i="2"/>
  <c r="K53" i="2"/>
  <c r="E42" i="2"/>
  <c r="J31" i="2"/>
  <c r="N31" i="2"/>
  <c r="M21" i="2"/>
  <c r="K21" i="2"/>
  <c r="O21" i="2"/>
  <c r="E21" i="2"/>
  <c r="I21" i="2"/>
  <c r="M10" i="2"/>
  <c r="Y353" i="1"/>
  <c r="U353" i="1"/>
  <c r="Q353" i="1"/>
  <c r="L353" i="1"/>
  <c r="H353" i="1"/>
  <c r="D353" i="1"/>
  <c r="Y352" i="1"/>
  <c r="U352" i="1"/>
  <c r="Q352" i="1"/>
  <c r="L352" i="1"/>
  <c r="H352" i="1"/>
  <c r="D352" i="1"/>
  <c r="Y351" i="1"/>
  <c r="U351" i="1"/>
  <c r="Q351" i="1"/>
  <c r="L351" i="1"/>
  <c r="H351" i="1"/>
  <c r="D351" i="1"/>
  <c r="Y350" i="1"/>
  <c r="U350" i="1"/>
  <c r="Q350" i="1"/>
  <c r="L350" i="1"/>
  <c r="H350" i="1"/>
  <c r="D350" i="1"/>
  <c r="Y349" i="1"/>
  <c r="U349" i="1"/>
  <c r="Q349" i="1"/>
  <c r="L349" i="1"/>
  <c r="H349" i="1"/>
  <c r="D349" i="1"/>
  <c r="Y348" i="1"/>
  <c r="U348" i="1"/>
  <c r="Q348" i="1"/>
  <c r="L348" i="1"/>
  <c r="H348" i="1"/>
  <c r="D348" i="1"/>
  <c r="Y347" i="1"/>
  <c r="U347" i="1"/>
  <c r="Q347" i="1"/>
  <c r="L347" i="1"/>
  <c r="H347" i="1"/>
  <c r="D347" i="1"/>
  <c r="Y346" i="1"/>
  <c r="U346" i="1"/>
  <c r="Q346" i="1"/>
  <c r="L346" i="1"/>
  <c r="H346" i="1"/>
  <c r="D346" i="1"/>
  <c r="Y345" i="1"/>
  <c r="U345" i="1"/>
  <c r="Q345" i="1"/>
  <c r="L345" i="1"/>
  <c r="H345" i="1"/>
  <c r="D345" i="1"/>
  <c r="Y344" i="1"/>
  <c r="U344" i="1"/>
  <c r="Q344" i="1"/>
  <c r="L344" i="1"/>
  <c r="H344" i="1"/>
  <c r="D344" i="1"/>
  <c r="Y343" i="1"/>
  <c r="U343" i="1"/>
  <c r="Q343" i="1"/>
  <c r="L343" i="1"/>
  <c r="H343" i="1"/>
  <c r="D343" i="1"/>
  <c r="Y342" i="1"/>
  <c r="U342" i="1"/>
  <c r="Q342" i="1"/>
  <c r="L342" i="1"/>
  <c r="H342" i="1"/>
  <c r="D342" i="1"/>
  <c r="Y341" i="1"/>
  <c r="U341" i="1"/>
  <c r="Q341" i="1"/>
  <c r="L341" i="1"/>
  <c r="H341" i="1"/>
  <c r="D341" i="1"/>
  <c r="Y340" i="1"/>
  <c r="U340" i="1"/>
  <c r="Q340" i="1"/>
  <c r="L340" i="1"/>
  <c r="H340" i="1"/>
  <c r="D340" i="1"/>
  <c r="Y339" i="1"/>
  <c r="U339" i="1"/>
  <c r="Q339" i="1"/>
  <c r="L339" i="1"/>
  <c r="H339" i="1"/>
  <c r="D339" i="1"/>
  <c r="Y338" i="1"/>
  <c r="U338" i="1"/>
  <c r="Q338" i="1"/>
  <c r="L338" i="1"/>
  <c r="H338" i="1"/>
  <c r="D338" i="1"/>
  <c r="Y337" i="1"/>
  <c r="U337" i="1"/>
  <c r="Q337" i="1"/>
  <c r="L337" i="1"/>
  <c r="H337" i="1"/>
  <c r="D337" i="1"/>
  <c r="Y336" i="1"/>
  <c r="U336" i="1"/>
  <c r="Q336" i="1"/>
  <c r="L336" i="1"/>
  <c r="H336" i="1"/>
  <c r="D336" i="1"/>
  <c r="Y335" i="1"/>
  <c r="U335" i="1"/>
  <c r="Q335" i="1"/>
  <c r="L335" i="1"/>
  <c r="H335" i="1"/>
  <c r="D335" i="1"/>
  <c r="Y334" i="1"/>
  <c r="U334" i="1"/>
  <c r="Q334" i="1"/>
  <c r="L334" i="1"/>
  <c r="H334" i="1"/>
  <c r="D334" i="1"/>
  <c r="Y333" i="1"/>
  <c r="U333" i="1"/>
  <c r="Q333" i="1"/>
  <c r="L333" i="1"/>
  <c r="H333" i="1"/>
  <c r="D333" i="1"/>
  <c r="Y332" i="1"/>
  <c r="U332" i="1"/>
  <c r="Q332" i="1"/>
  <c r="L332" i="1"/>
  <c r="H332" i="1"/>
  <c r="D332" i="1"/>
  <c r="Y331" i="1"/>
  <c r="U331" i="1"/>
  <c r="Q331" i="1"/>
  <c r="L331" i="1"/>
  <c r="H331" i="1"/>
  <c r="D331" i="1"/>
  <c r="Y330" i="1"/>
  <c r="U330" i="1"/>
  <c r="Q330" i="1"/>
  <c r="L330" i="1"/>
  <c r="H330" i="1"/>
  <c r="D330" i="1"/>
  <c r="Y329" i="1"/>
  <c r="U329" i="1"/>
  <c r="Q329" i="1"/>
  <c r="L329" i="1"/>
  <c r="H329" i="1"/>
  <c r="D329" i="1"/>
  <c r="Y328" i="1"/>
  <c r="U328" i="1"/>
  <c r="Q328" i="1"/>
  <c r="L328" i="1"/>
  <c r="H328" i="1"/>
  <c r="D328" i="1"/>
  <c r="Y327" i="1"/>
  <c r="U327" i="1"/>
  <c r="Q327" i="1"/>
  <c r="L327" i="1"/>
  <c r="H327" i="1"/>
  <c r="D327" i="1"/>
  <c r="Y326" i="1"/>
  <c r="U326" i="1"/>
  <c r="Q326" i="1"/>
  <c r="L326" i="1"/>
  <c r="H326" i="1"/>
  <c r="D326" i="1"/>
  <c r="Y325" i="1"/>
  <c r="U325" i="1"/>
  <c r="Q325" i="1"/>
  <c r="L325" i="1"/>
  <c r="H325" i="1"/>
  <c r="D325" i="1"/>
  <c r="Y324" i="1"/>
  <c r="U324" i="1"/>
  <c r="Q324" i="1"/>
  <c r="L324" i="1"/>
  <c r="H324" i="1"/>
  <c r="D324" i="1"/>
  <c r="Y318" i="1"/>
  <c r="U318" i="1"/>
  <c r="Q318" i="1"/>
  <c r="L318" i="1"/>
  <c r="H318" i="1"/>
  <c r="D318" i="1"/>
  <c r="Y317" i="1"/>
  <c r="U317" i="1"/>
  <c r="Q317" i="1"/>
  <c r="L317" i="1"/>
  <c r="H317" i="1"/>
  <c r="D317" i="1"/>
  <c r="Y316" i="1"/>
  <c r="U316" i="1"/>
  <c r="Q316" i="1"/>
  <c r="L316" i="1"/>
  <c r="H316" i="1"/>
  <c r="D316" i="1"/>
  <c r="Y315" i="1"/>
  <c r="U315" i="1"/>
  <c r="Q315" i="1"/>
  <c r="L315" i="1"/>
  <c r="H315" i="1"/>
  <c r="D315" i="1"/>
  <c r="Y314" i="1"/>
  <c r="U314" i="1"/>
  <c r="Q314" i="1"/>
  <c r="L314" i="1"/>
  <c r="H314" i="1"/>
  <c r="D314" i="1"/>
  <c r="Y313" i="1"/>
  <c r="U313" i="1"/>
  <c r="Q313" i="1"/>
  <c r="L313" i="1"/>
  <c r="H313" i="1"/>
  <c r="D313" i="1"/>
  <c r="Y312" i="1"/>
  <c r="U312" i="1"/>
  <c r="Q312" i="1"/>
  <c r="L312" i="1"/>
  <c r="H312" i="1"/>
  <c r="D312" i="1"/>
  <c r="Y311" i="1"/>
  <c r="U311" i="1"/>
  <c r="Q311" i="1"/>
  <c r="L311" i="1"/>
  <c r="H311" i="1"/>
  <c r="D311" i="1"/>
  <c r="Y310" i="1"/>
  <c r="U310" i="1"/>
  <c r="Q310" i="1"/>
  <c r="L310" i="1"/>
  <c r="H310" i="1"/>
  <c r="D310" i="1"/>
  <c r="Y309" i="1"/>
  <c r="U309" i="1"/>
  <c r="Q309" i="1"/>
  <c r="L309" i="1"/>
  <c r="H309" i="1"/>
  <c r="D309" i="1"/>
  <c r="Y308" i="1"/>
  <c r="U308" i="1"/>
  <c r="Q308" i="1"/>
  <c r="L308" i="1"/>
  <c r="H308" i="1"/>
  <c r="D308" i="1"/>
  <c r="Y307" i="1"/>
  <c r="U307" i="1"/>
  <c r="Q307" i="1"/>
  <c r="L307" i="1"/>
  <c r="H307" i="1"/>
  <c r="D307" i="1"/>
  <c r="Y306" i="1"/>
  <c r="U306" i="1"/>
  <c r="Q306" i="1"/>
  <c r="L306" i="1"/>
  <c r="H306" i="1"/>
  <c r="D306" i="1"/>
  <c r="Y305" i="1"/>
  <c r="U305" i="1"/>
  <c r="Q305" i="1"/>
  <c r="L305" i="1"/>
  <c r="H305" i="1"/>
  <c r="D305" i="1"/>
  <c r="Y304" i="1"/>
  <c r="U304" i="1"/>
  <c r="Q304" i="1"/>
  <c r="L304" i="1"/>
  <c r="H304" i="1"/>
  <c r="D304" i="1"/>
  <c r="Y303" i="1"/>
  <c r="U303" i="1"/>
  <c r="Q303" i="1"/>
  <c r="L303" i="1"/>
  <c r="H303" i="1"/>
  <c r="D303" i="1"/>
  <c r="Y302" i="1"/>
  <c r="U302" i="1"/>
  <c r="Q302" i="1"/>
  <c r="L302" i="1"/>
  <c r="H302" i="1"/>
  <c r="D302" i="1"/>
  <c r="Y301" i="1"/>
  <c r="U301" i="1"/>
  <c r="Q301" i="1"/>
  <c r="L301" i="1"/>
  <c r="H301" i="1"/>
  <c r="D301" i="1"/>
  <c r="Y300" i="1"/>
  <c r="U300" i="1"/>
  <c r="Q300" i="1"/>
  <c r="L300" i="1"/>
  <c r="H300" i="1"/>
  <c r="D300" i="1"/>
  <c r="Y299" i="1"/>
  <c r="U299" i="1"/>
  <c r="Q299" i="1"/>
  <c r="L299" i="1"/>
  <c r="H299" i="1"/>
  <c r="D299" i="1"/>
  <c r="Y298" i="1"/>
  <c r="U298" i="1"/>
  <c r="Q298" i="1"/>
  <c r="L298" i="1"/>
  <c r="H298" i="1"/>
  <c r="D298" i="1"/>
  <c r="Y297" i="1"/>
  <c r="U297" i="1"/>
  <c r="Q297" i="1"/>
  <c r="L297" i="1"/>
  <c r="H297" i="1"/>
  <c r="D297" i="1"/>
  <c r="Y296" i="1"/>
  <c r="U296" i="1"/>
  <c r="Q296" i="1"/>
  <c r="L296" i="1"/>
  <c r="H296" i="1"/>
  <c r="D296" i="1"/>
  <c r="Y295" i="1"/>
  <c r="U295" i="1"/>
  <c r="Q295" i="1"/>
  <c r="L295" i="1"/>
  <c r="H295" i="1"/>
  <c r="D295" i="1"/>
  <c r="Y294" i="1"/>
  <c r="U294" i="1"/>
  <c r="Q294" i="1"/>
  <c r="L294" i="1"/>
  <c r="H294" i="1"/>
  <c r="D294" i="1"/>
  <c r="Y293" i="1"/>
  <c r="U293" i="1"/>
  <c r="Q293" i="1"/>
  <c r="L293" i="1"/>
  <c r="H293" i="1"/>
  <c r="D293" i="1"/>
  <c r="Y292" i="1"/>
  <c r="U292" i="1"/>
  <c r="Q292" i="1"/>
  <c r="L292" i="1"/>
  <c r="H292" i="1"/>
  <c r="D292" i="1"/>
  <c r="Y291" i="1"/>
  <c r="U291" i="1"/>
  <c r="Q291" i="1"/>
  <c r="L291" i="1"/>
  <c r="H291" i="1"/>
  <c r="D291" i="1"/>
  <c r="Y290" i="1"/>
  <c r="U290" i="1"/>
  <c r="Q290" i="1"/>
  <c r="L290" i="1"/>
  <c r="H290" i="1"/>
  <c r="D290" i="1"/>
  <c r="Y289" i="1"/>
  <c r="U289" i="1"/>
  <c r="Q289" i="1"/>
  <c r="L289" i="1"/>
  <c r="H289" i="1"/>
  <c r="D289" i="1"/>
  <c r="Y283" i="1"/>
  <c r="U283" i="1"/>
  <c r="Q283" i="1"/>
  <c r="L283" i="1"/>
  <c r="H283" i="1"/>
  <c r="D283" i="1"/>
  <c r="Y282" i="1"/>
  <c r="U282" i="1"/>
  <c r="Q282" i="1"/>
  <c r="L282" i="1"/>
  <c r="H282" i="1"/>
  <c r="D282" i="1"/>
  <c r="Y281" i="1"/>
  <c r="U281" i="1"/>
  <c r="Q281" i="1"/>
  <c r="L281" i="1"/>
  <c r="H281" i="1"/>
  <c r="D281" i="1"/>
  <c r="Y280" i="1"/>
  <c r="U280" i="1"/>
  <c r="Q280" i="1"/>
  <c r="L280" i="1"/>
  <c r="H280" i="1"/>
  <c r="D280" i="1"/>
  <c r="Y279" i="1"/>
  <c r="U279" i="1"/>
  <c r="Q279" i="1"/>
  <c r="L279" i="1"/>
  <c r="H279" i="1"/>
  <c r="D279" i="1"/>
  <c r="Y278" i="1"/>
  <c r="U278" i="1"/>
  <c r="Q278" i="1"/>
  <c r="L278" i="1"/>
  <c r="H278" i="1"/>
  <c r="D278" i="1"/>
  <c r="Y277" i="1"/>
  <c r="U277" i="1"/>
  <c r="Q277" i="1"/>
  <c r="L277" i="1"/>
  <c r="H277" i="1"/>
  <c r="D277" i="1"/>
  <c r="Y276" i="1"/>
  <c r="U276" i="1"/>
  <c r="Q276" i="1"/>
  <c r="L276" i="1"/>
  <c r="H276" i="1"/>
  <c r="D276" i="1"/>
  <c r="Y275" i="1"/>
  <c r="U275" i="1"/>
  <c r="Q275" i="1"/>
  <c r="L275" i="1"/>
  <c r="H275" i="1"/>
  <c r="D275" i="1"/>
  <c r="Y274" i="1"/>
  <c r="U274" i="1"/>
  <c r="Q274" i="1"/>
  <c r="L274" i="1"/>
  <c r="H274" i="1"/>
  <c r="D274" i="1"/>
  <c r="Y273" i="1"/>
  <c r="U273" i="1"/>
  <c r="Q273" i="1"/>
  <c r="L273" i="1"/>
  <c r="H273" i="1"/>
  <c r="D273" i="1"/>
  <c r="Y272" i="1"/>
  <c r="U272" i="1"/>
  <c r="Q272" i="1"/>
  <c r="L272" i="1"/>
  <c r="H272" i="1"/>
  <c r="D272" i="1"/>
  <c r="Y271" i="1"/>
  <c r="U271" i="1"/>
  <c r="Q271" i="1"/>
  <c r="L271" i="1"/>
  <c r="H271" i="1"/>
  <c r="D271" i="1"/>
  <c r="Y270" i="1"/>
  <c r="U270" i="1"/>
  <c r="Q270" i="1"/>
  <c r="L270" i="1"/>
  <c r="H270" i="1"/>
  <c r="D270" i="1"/>
  <c r="Y269" i="1"/>
  <c r="U269" i="1"/>
  <c r="Q269" i="1"/>
  <c r="L269" i="1"/>
  <c r="H269" i="1"/>
  <c r="D269" i="1"/>
  <c r="Y268" i="1"/>
  <c r="U268" i="1"/>
  <c r="Q268" i="1"/>
  <c r="L268" i="1"/>
  <c r="H268" i="1"/>
  <c r="D268" i="1"/>
  <c r="Y267" i="1"/>
  <c r="U267" i="1"/>
  <c r="Q267" i="1"/>
  <c r="L267" i="1"/>
  <c r="H267" i="1"/>
  <c r="D267" i="1"/>
  <c r="Y266" i="1"/>
  <c r="U266" i="1"/>
  <c r="Q266" i="1"/>
  <c r="L266" i="1"/>
  <c r="H266" i="1"/>
  <c r="D266" i="1"/>
  <c r="Y265" i="1"/>
  <c r="U265" i="1"/>
  <c r="Q265" i="1"/>
  <c r="L265" i="1"/>
  <c r="H265" i="1"/>
  <c r="D265" i="1"/>
  <c r="Y264" i="1"/>
  <c r="U264" i="1"/>
  <c r="Q264" i="1"/>
  <c r="L264" i="1"/>
  <c r="H264" i="1"/>
  <c r="D264" i="1"/>
  <c r="Y263" i="1"/>
  <c r="U263" i="1"/>
  <c r="Q263" i="1"/>
  <c r="L263" i="1"/>
  <c r="H263" i="1"/>
  <c r="D263" i="1"/>
  <c r="Y262" i="1"/>
  <c r="U262" i="1"/>
  <c r="Q262" i="1"/>
  <c r="L262" i="1"/>
  <c r="H262" i="1"/>
  <c r="D262" i="1"/>
  <c r="Y261" i="1"/>
  <c r="U261" i="1"/>
  <c r="Q261" i="1"/>
  <c r="L261" i="1"/>
  <c r="H261" i="1"/>
  <c r="D261" i="1"/>
  <c r="Y260" i="1"/>
  <c r="U260" i="1"/>
  <c r="Q260" i="1"/>
  <c r="L260" i="1"/>
  <c r="H260" i="1"/>
  <c r="D260" i="1"/>
  <c r="Y259" i="1"/>
  <c r="U259" i="1"/>
  <c r="Q259" i="1"/>
  <c r="L259" i="1"/>
  <c r="H259" i="1"/>
  <c r="D259" i="1"/>
  <c r="Y258" i="1"/>
  <c r="U258" i="1"/>
  <c r="Q258" i="1"/>
  <c r="L258" i="1"/>
  <c r="H258" i="1"/>
  <c r="D258" i="1"/>
  <c r="Y257" i="1"/>
  <c r="U257" i="1"/>
  <c r="Q257" i="1"/>
  <c r="L257" i="1"/>
  <c r="H257" i="1"/>
  <c r="D257" i="1"/>
  <c r="Y256" i="1"/>
  <c r="U256" i="1"/>
  <c r="Q256" i="1"/>
  <c r="L256" i="1"/>
  <c r="H256" i="1"/>
  <c r="D256" i="1"/>
  <c r="Y255" i="1"/>
  <c r="U255" i="1"/>
  <c r="Q255" i="1"/>
  <c r="L255" i="1"/>
  <c r="H255" i="1"/>
  <c r="D255" i="1"/>
  <c r="Y254" i="1"/>
  <c r="U254" i="1"/>
  <c r="Q254" i="1"/>
  <c r="L254" i="1"/>
  <c r="H254" i="1"/>
  <c r="D254" i="1"/>
  <c r="Y248" i="1"/>
  <c r="U248" i="1"/>
  <c r="Q248" i="1"/>
  <c r="L248" i="1"/>
  <c r="H248" i="1"/>
  <c r="D248" i="1"/>
  <c r="Y247" i="1"/>
  <c r="U247" i="1"/>
  <c r="Q247" i="1"/>
  <c r="L247" i="1"/>
  <c r="H247" i="1"/>
  <c r="D247" i="1"/>
  <c r="Y246" i="1"/>
  <c r="U246" i="1"/>
  <c r="Q246" i="1"/>
  <c r="L246" i="1"/>
  <c r="H246" i="1"/>
  <c r="D246" i="1"/>
  <c r="Y245" i="1"/>
  <c r="U245" i="1"/>
  <c r="Q245" i="1"/>
  <c r="L245" i="1"/>
  <c r="H245" i="1"/>
  <c r="D245" i="1"/>
  <c r="Y244" i="1"/>
  <c r="U244" i="1"/>
  <c r="Q244" i="1"/>
  <c r="L244" i="1"/>
  <c r="H244" i="1"/>
  <c r="D244" i="1"/>
  <c r="Y243" i="1"/>
  <c r="U243" i="1"/>
  <c r="Q243" i="1"/>
  <c r="L243" i="1"/>
  <c r="H243" i="1"/>
  <c r="D243" i="1"/>
  <c r="Y242" i="1"/>
  <c r="U242" i="1"/>
  <c r="Q242" i="1"/>
  <c r="L242" i="1"/>
  <c r="H242" i="1"/>
  <c r="D242" i="1"/>
  <c r="Y241" i="1"/>
  <c r="U241" i="1"/>
  <c r="Q241" i="1"/>
  <c r="L241" i="1"/>
  <c r="H241" i="1"/>
  <c r="D241" i="1"/>
  <c r="Y240" i="1"/>
  <c r="U240" i="1"/>
  <c r="Q240" i="1"/>
  <c r="L240" i="1"/>
  <c r="H240" i="1"/>
  <c r="D240" i="1"/>
  <c r="Y239" i="1"/>
  <c r="U239" i="1"/>
  <c r="Q239" i="1"/>
  <c r="L239" i="1"/>
  <c r="H239" i="1"/>
  <c r="D239" i="1"/>
  <c r="Y238" i="1"/>
  <c r="U238" i="1"/>
  <c r="Q238" i="1"/>
  <c r="L238" i="1"/>
  <c r="H238" i="1"/>
  <c r="D238" i="1"/>
  <c r="Y237" i="1"/>
  <c r="U237" i="1"/>
  <c r="Q237" i="1"/>
  <c r="L237" i="1"/>
  <c r="H237" i="1"/>
  <c r="D237" i="1"/>
  <c r="Y236" i="1"/>
  <c r="U236" i="1"/>
  <c r="Q236" i="1"/>
  <c r="L236" i="1"/>
  <c r="H236" i="1"/>
  <c r="D236" i="1"/>
  <c r="Y235" i="1"/>
  <c r="U235" i="1"/>
  <c r="Q235" i="1"/>
  <c r="L235" i="1"/>
  <c r="H235" i="1"/>
  <c r="D235" i="1"/>
  <c r="Y234" i="1"/>
  <c r="U234" i="1"/>
  <c r="Q234" i="1"/>
  <c r="L234" i="1"/>
  <c r="H234" i="1"/>
  <c r="D234" i="1"/>
  <c r="Y233" i="1"/>
  <c r="U233" i="1"/>
  <c r="Q233" i="1"/>
  <c r="L233" i="1"/>
  <c r="H233" i="1"/>
  <c r="D233" i="1"/>
  <c r="Y232" i="1"/>
  <c r="U232" i="1"/>
  <c r="Q232" i="1"/>
  <c r="L232" i="1"/>
  <c r="H232" i="1"/>
  <c r="D232" i="1"/>
  <c r="Y231" i="1"/>
  <c r="U231" i="1"/>
  <c r="Q231" i="1"/>
  <c r="L231" i="1"/>
  <c r="H231" i="1"/>
  <c r="D231" i="1"/>
  <c r="Y230" i="1"/>
  <c r="U230" i="1"/>
  <c r="Q230" i="1"/>
  <c r="L230" i="1"/>
  <c r="H230" i="1"/>
  <c r="D230" i="1"/>
  <c r="Y229" i="1"/>
  <c r="U229" i="1"/>
  <c r="Q229" i="1"/>
  <c r="L229" i="1"/>
  <c r="H229" i="1"/>
  <c r="D229" i="1"/>
  <c r="Y228" i="1"/>
  <c r="U228" i="1"/>
  <c r="Q228" i="1"/>
  <c r="L228" i="1"/>
  <c r="H228" i="1"/>
  <c r="D228" i="1"/>
  <c r="Y227" i="1"/>
  <c r="U227" i="1"/>
  <c r="Q227" i="1"/>
  <c r="L227" i="1"/>
  <c r="H227" i="1"/>
  <c r="D227" i="1"/>
  <c r="Y226" i="1"/>
  <c r="U226" i="1"/>
  <c r="Q226" i="1"/>
  <c r="L226" i="1"/>
  <c r="H226" i="1"/>
  <c r="D226" i="1"/>
  <c r="Y225" i="1"/>
  <c r="U225" i="1"/>
  <c r="Q225" i="1"/>
  <c r="L225" i="1"/>
  <c r="H225" i="1"/>
  <c r="D225" i="1"/>
  <c r="Y224" i="1"/>
  <c r="U224" i="1"/>
  <c r="Q224" i="1"/>
  <c r="L224" i="1"/>
  <c r="H224" i="1"/>
  <c r="D224" i="1"/>
  <c r="Y223" i="1"/>
  <c r="U223" i="1"/>
  <c r="Q223" i="1"/>
  <c r="L223" i="1"/>
  <c r="H223" i="1"/>
  <c r="D223" i="1"/>
  <c r="Y222" i="1"/>
  <c r="U222" i="1"/>
  <c r="Q222" i="1"/>
  <c r="L222" i="1"/>
  <c r="H222" i="1"/>
  <c r="D222" i="1"/>
  <c r="Y221" i="1"/>
  <c r="U221" i="1"/>
  <c r="Q221" i="1"/>
  <c r="L221" i="1"/>
  <c r="H221" i="1"/>
  <c r="D221" i="1"/>
  <c r="Y220" i="1"/>
  <c r="U220" i="1"/>
  <c r="Q220" i="1"/>
  <c r="L220" i="1"/>
  <c r="H220" i="1"/>
  <c r="D220" i="1"/>
  <c r="Y219" i="1"/>
  <c r="U219" i="1"/>
  <c r="Q219" i="1"/>
  <c r="L219" i="1"/>
  <c r="H219" i="1"/>
  <c r="D219" i="1"/>
  <c r="Y213" i="1"/>
  <c r="U213" i="1"/>
  <c r="Q213" i="1"/>
  <c r="L213" i="1"/>
  <c r="H213" i="1"/>
  <c r="D213" i="1"/>
  <c r="Y212" i="1"/>
  <c r="U212" i="1"/>
  <c r="Q212" i="1"/>
  <c r="L212" i="1"/>
  <c r="H212" i="1"/>
  <c r="D212" i="1"/>
  <c r="Y211" i="1"/>
  <c r="U211" i="1"/>
  <c r="Q211" i="1"/>
  <c r="L211" i="1"/>
  <c r="H211" i="1"/>
  <c r="D211" i="1"/>
  <c r="Y210" i="1"/>
  <c r="U210" i="1"/>
  <c r="Q210" i="1"/>
  <c r="L210" i="1"/>
  <c r="H210" i="1"/>
  <c r="D210" i="1"/>
  <c r="Y209" i="1"/>
  <c r="U209" i="1"/>
  <c r="Q209" i="1"/>
  <c r="L209" i="1"/>
  <c r="H209" i="1"/>
  <c r="D209" i="1"/>
  <c r="Y208" i="1"/>
  <c r="U208" i="1"/>
  <c r="Q208" i="1"/>
  <c r="L208" i="1"/>
  <c r="H208" i="1"/>
  <c r="D208" i="1"/>
  <c r="Y207" i="1"/>
  <c r="U207" i="1"/>
  <c r="Q207" i="1"/>
  <c r="L207" i="1"/>
  <c r="H207" i="1"/>
  <c r="D207" i="1"/>
  <c r="Y206" i="1"/>
  <c r="U206" i="1"/>
  <c r="Q206" i="1"/>
  <c r="L206" i="1"/>
  <c r="H206" i="1"/>
  <c r="D206" i="1"/>
  <c r="Y205" i="1"/>
  <c r="U205" i="1"/>
  <c r="Q205" i="1"/>
  <c r="L205" i="1"/>
  <c r="H205" i="1"/>
  <c r="D205" i="1"/>
  <c r="Y204" i="1"/>
  <c r="U204" i="1"/>
  <c r="Q204" i="1"/>
  <c r="L204" i="1"/>
  <c r="H204" i="1"/>
  <c r="D204" i="1"/>
  <c r="Y203" i="1"/>
  <c r="U203" i="1"/>
  <c r="Q203" i="1"/>
  <c r="L203" i="1"/>
  <c r="H203" i="1"/>
  <c r="D203" i="1"/>
  <c r="Y202" i="1"/>
  <c r="U202" i="1"/>
  <c r="Q202" i="1"/>
  <c r="L202" i="1"/>
  <c r="H202" i="1"/>
  <c r="D202" i="1"/>
  <c r="Y201" i="1"/>
  <c r="U201" i="1"/>
  <c r="Q201" i="1"/>
  <c r="L201" i="1"/>
  <c r="H201" i="1"/>
  <c r="D201" i="1"/>
  <c r="Y200" i="1"/>
  <c r="U200" i="1"/>
  <c r="Q200" i="1"/>
  <c r="L200" i="1"/>
  <c r="H200" i="1"/>
  <c r="D200" i="1"/>
  <c r="Y199" i="1"/>
  <c r="U199" i="1"/>
  <c r="Q199" i="1"/>
  <c r="L199" i="1"/>
  <c r="H199" i="1"/>
  <c r="D199" i="1"/>
  <c r="Y198" i="1"/>
  <c r="U198" i="1"/>
  <c r="Q198" i="1"/>
  <c r="L198" i="1"/>
  <c r="H198" i="1"/>
  <c r="D198" i="1"/>
  <c r="Y197" i="1"/>
  <c r="U197" i="1"/>
  <c r="Q197" i="1"/>
  <c r="L197" i="1"/>
  <c r="H197" i="1"/>
  <c r="D197" i="1"/>
  <c r="Y196" i="1"/>
  <c r="U196" i="1"/>
  <c r="Q196" i="1"/>
  <c r="L196" i="1"/>
  <c r="H196" i="1"/>
  <c r="D196" i="1"/>
  <c r="Y195" i="1"/>
  <c r="U195" i="1"/>
  <c r="Q195" i="1"/>
  <c r="L195" i="1"/>
  <c r="H195" i="1"/>
  <c r="D195" i="1"/>
  <c r="Y194" i="1"/>
  <c r="U194" i="1"/>
  <c r="Q194" i="1"/>
  <c r="L194" i="1"/>
  <c r="H194" i="1"/>
  <c r="D194" i="1"/>
  <c r="Y193" i="1"/>
  <c r="U193" i="1"/>
  <c r="Q193" i="1"/>
  <c r="L193" i="1"/>
  <c r="H193" i="1"/>
  <c r="D193" i="1"/>
  <c r="Y192" i="1"/>
  <c r="U192" i="1"/>
  <c r="Q192" i="1"/>
  <c r="L192" i="1"/>
  <c r="H192" i="1"/>
  <c r="D192" i="1"/>
  <c r="Y191" i="1"/>
  <c r="U191" i="1"/>
  <c r="Q191" i="1"/>
  <c r="L191" i="1"/>
  <c r="H191" i="1"/>
  <c r="D191" i="1"/>
  <c r="Y190" i="1"/>
  <c r="U190" i="1"/>
  <c r="Q190" i="1"/>
  <c r="L190" i="1"/>
  <c r="H190" i="1"/>
  <c r="D190" i="1"/>
  <c r="Y189" i="1"/>
  <c r="U189" i="1"/>
  <c r="Q189" i="1"/>
  <c r="L189" i="1"/>
  <c r="H189" i="1"/>
  <c r="D189" i="1"/>
  <c r="Y188" i="1"/>
  <c r="U188" i="1"/>
  <c r="Q188" i="1"/>
  <c r="L188" i="1"/>
  <c r="H188" i="1"/>
  <c r="D188" i="1"/>
  <c r="Y187" i="1"/>
  <c r="U187" i="1"/>
  <c r="Q187" i="1"/>
  <c r="L187" i="1"/>
  <c r="H187" i="1"/>
  <c r="D187" i="1"/>
  <c r="Y186" i="1"/>
  <c r="U186" i="1"/>
  <c r="Q186" i="1"/>
  <c r="L186" i="1"/>
  <c r="H186" i="1"/>
  <c r="D186" i="1"/>
  <c r="Y185" i="1"/>
  <c r="U185" i="1"/>
  <c r="Q185" i="1"/>
  <c r="L185" i="1"/>
  <c r="H185" i="1"/>
  <c r="D185" i="1"/>
  <c r="Y184" i="1"/>
  <c r="U184" i="1"/>
  <c r="Q184" i="1"/>
  <c r="L184" i="1"/>
  <c r="H184" i="1"/>
  <c r="D184" i="1"/>
  <c r="Y178" i="1"/>
  <c r="U178" i="1"/>
  <c r="Q178" i="1"/>
  <c r="L178" i="1"/>
  <c r="H178" i="1"/>
  <c r="D178" i="1"/>
  <c r="Y177" i="1"/>
  <c r="U177" i="1"/>
  <c r="Q177" i="1"/>
  <c r="L177" i="1"/>
  <c r="H177" i="1"/>
  <c r="D177" i="1"/>
  <c r="Y176" i="1"/>
  <c r="U176" i="1"/>
  <c r="Q176" i="1"/>
  <c r="L176" i="1"/>
  <c r="H176" i="1"/>
  <c r="D176" i="1"/>
  <c r="Y175" i="1"/>
  <c r="U175" i="1"/>
  <c r="Q175" i="1"/>
  <c r="L175" i="1"/>
  <c r="H175" i="1"/>
  <c r="D175" i="1"/>
  <c r="Y174" i="1"/>
  <c r="U174" i="1"/>
  <c r="Q174" i="1"/>
  <c r="L174" i="1"/>
  <c r="H174" i="1"/>
  <c r="D174" i="1"/>
  <c r="Y173" i="1"/>
  <c r="U173" i="1"/>
  <c r="Q173" i="1"/>
  <c r="L173" i="1"/>
  <c r="H173" i="1"/>
  <c r="D173" i="1"/>
  <c r="Y172" i="1"/>
  <c r="U172" i="1"/>
  <c r="Q172" i="1"/>
  <c r="L172" i="1"/>
  <c r="H172" i="1"/>
  <c r="D172" i="1"/>
  <c r="Y171" i="1"/>
  <c r="U171" i="1"/>
  <c r="Q171" i="1"/>
  <c r="L171" i="1"/>
  <c r="H171" i="1"/>
  <c r="D171" i="1"/>
  <c r="Y170" i="1"/>
  <c r="U170" i="1"/>
  <c r="Q170" i="1"/>
  <c r="L170" i="1"/>
  <c r="H170" i="1"/>
  <c r="D170" i="1"/>
  <c r="Y169" i="1"/>
  <c r="U169" i="1"/>
  <c r="Q169" i="1"/>
  <c r="L169" i="1"/>
  <c r="H169" i="1"/>
  <c r="D169" i="1"/>
  <c r="Y168" i="1"/>
  <c r="U168" i="1"/>
  <c r="Q168" i="1"/>
  <c r="L168" i="1"/>
  <c r="H168" i="1"/>
  <c r="D168" i="1"/>
  <c r="Y167" i="1"/>
  <c r="U167" i="1"/>
  <c r="Q167" i="1"/>
  <c r="L167" i="1"/>
  <c r="H167" i="1"/>
  <c r="D167" i="1"/>
  <c r="Y166" i="1"/>
  <c r="U166" i="1"/>
  <c r="Q166" i="1"/>
  <c r="L166" i="1"/>
  <c r="H166" i="1"/>
  <c r="D166" i="1"/>
  <c r="Y165" i="1"/>
  <c r="U165" i="1"/>
  <c r="Q165" i="1"/>
  <c r="L165" i="1"/>
  <c r="H165" i="1"/>
  <c r="D165" i="1"/>
  <c r="Y164" i="1"/>
  <c r="U164" i="1"/>
  <c r="Q164" i="1"/>
  <c r="L164" i="1"/>
  <c r="H164" i="1"/>
  <c r="D164" i="1"/>
  <c r="Y163" i="1"/>
  <c r="U163" i="1"/>
  <c r="Q163" i="1"/>
  <c r="L163" i="1"/>
  <c r="H163" i="1"/>
  <c r="D163" i="1"/>
  <c r="Y162" i="1"/>
  <c r="U162" i="1"/>
  <c r="Q162" i="1"/>
  <c r="L162" i="1"/>
  <c r="H162" i="1"/>
  <c r="D162" i="1"/>
  <c r="Y161" i="1"/>
  <c r="U161" i="1"/>
  <c r="Q161" i="1"/>
  <c r="L161" i="1"/>
  <c r="H161" i="1"/>
  <c r="D161" i="1"/>
  <c r="Y160" i="1"/>
  <c r="U160" i="1"/>
  <c r="Q160" i="1"/>
  <c r="L160" i="1"/>
  <c r="H160" i="1"/>
  <c r="D160" i="1"/>
  <c r="Y159" i="1"/>
  <c r="U159" i="1"/>
  <c r="Q159" i="1"/>
  <c r="L159" i="1"/>
  <c r="H159" i="1"/>
  <c r="D159" i="1"/>
  <c r="Y158" i="1"/>
  <c r="U158" i="1"/>
  <c r="Q158" i="1"/>
  <c r="L158" i="1"/>
  <c r="H158" i="1"/>
  <c r="D158" i="1"/>
  <c r="Y157" i="1"/>
  <c r="U157" i="1"/>
  <c r="Q157" i="1"/>
  <c r="L157" i="1"/>
  <c r="H157" i="1"/>
  <c r="D157" i="1"/>
  <c r="Y156" i="1"/>
  <c r="U156" i="1"/>
  <c r="Q156" i="1"/>
  <c r="L156" i="1"/>
  <c r="H156" i="1"/>
  <c r="D156" i="1"/>
  <c r="Y155" i="1"/>
  <c r="U155" i="1"/>
  <c r="Q155" i="1"/>
  <c r="L155" i="1"/>
  <c r="H155" i="1"/>
  <c r="D155" i="1"/>
  <c r="Y154" i="1"/>
  <c r="U154" i="1"/>
  <c r="Q154" i="1"/>
  <c r="L154" i="1"/>
  <c r="H154" i="1"/>
  <c r="D154" i="1"/>
  <c r="Y153" i="1"/>
  <c r="U153" i="1"/>
  <c r="Q153" i="1"/>
  <c r="L153" i="1"/>
  <c r="H153" i="1"/>
  <c r="D153" i="1"/>
  <c r="Y152" i="1"/>
  <c r="U152" i="1"/>
  <c r="Q152" i="1"/>
  <c r="L152" i="1"/>
  <c r="H152" i="1"/>
  <c r="D152" i="1"/>
  <c r="Y151" i="1"/>
  <c r="U151" i="1"/>
  <c r="Q151" i="1"/>
  <c r="L151" i="1"/>
  <c r="H151" i="1"/>
  <c r="D151" i="1"/>
  <c r="Y150" i="1"/>
  <c r="U150" i="1"/>
  <c r="Q150" i="1"/>
  <c r="L150" i="1"/>
  <c r="H150" i="1"/>
  <c r="D150" i="1"/>
  <c r="Y149" i="1"/>
  <c r="U149" i="1"/>
  <c r="Q149" i="1"/>
  <c r="L149" i="1"/>
  <c r="H149" i="1"/>
  <c r="D149" i="1"/>
  <c r="Y143" i="1"/>
  <c r="U143" i="1"/>
  <c r="Q143" i="1"/>
  <c r="L143" i="1"/>
  <c r="H143" i="1"/>
  <c r="Y142" i="1"/>
  <c r="U142" i="1"/>
  <c r="Q142" i="1"/>
  <c r="L142" i="1"/>
  <c r="H142" i="1"/>
  <c r="Y141" i="1"/>
  <c r="U141" i="1"/>
  <c r="Q141" i="1"/>
  <c r="L141" i="1"/>
  <c r="H141" i="1"/>
  <c r="Y140" i="1"/>
  <c r="U140" i="1"/>
  <c r="Q140" i="1"/>
  <c r="L140" i="1"/>
  <c r="H140" i="1"/>
  <c r="Y139" i="1"/>
  <c r="U139" i="1"/>
  <c r="Q139" i="1"/>
  <c r="L139" i="1"/>
  <c r="H139" i="1"/>
  <c r="Y138" i="1"/>
  <c r="U138" i="1"/>
  <c r="Q138" i="1"/>
  <c r="L138" i="1"/>
  <c r="H138" i="1"/>
  <c r="Y137" i="1"/>
  <c r="U137" i="1"/>
  <c r="Q137" i="1"/>
  <c r="L137" i="1"/>
  <c r="H137" i="1"/>
  <c r="Y136" i="1"/>
  <c r="U136" i="1"/>
  <c r="Q136" i="1"/>
  <c r="L136" i="1"/>
  <c r="H136" i="1"/>
  <c r="Y135" i="1"/>
  <c r="U135" i="1"/>
  <c r="Q135" i="1"/>
  <c r="L135" i="1"/>
  <c r="H135" i="1"/>
  <c r="Y134" i="1"/>
  <c r="U134" i="1"/>
  <c r="Q134" i="1"/>
  <c r="L134" i="1"/>
  <c r="H134" i="1"/>
  <c r="Y133" i="1"/>
  <c r="U133" i="1"/>
  <c r="Q133" i="1"/>
  <c r="L133" i="1"/>
  <c r="H133" i="1"/>
  <c r="Y132" i="1"/>
  <c r="U132" i="1"/>
  <c r="Q132" i="1"/>
  <c r="L132" i="1"/>
  <c r="H132" i="1"/>
  <c r="Y131" i="1"/>
  <c r="U131" i="1"/>
  <c r="Q131" i="1"/>
  <c r="L131" i="1"/>
  <c r="H131" i="1"/>
  <c r="Y130" i="1"/>
  <c r="U130" i="1"/>
  <c r="Q130" i="1"/>
  <c r="L130" i="1"/>
  <c r="H130" i="1"/>
  <c r="Y129" i="1"/>
  <c r="U129" i="1"/>
  <c r="Q129" i="1"/>
  <c r="L129" i="1"/>
  <c r="H129" i="1"/>
  <c r="Y128" i="1"/>
  <c r="U128" i="1"/>
  <c r="Q128" i="1"/>
  <c r="L128" i="1"/>
  <c r="H128" i="1"/>
  <c r="Y127" i="1"/>
  <c r="U127" i="1"/>
  <c r="Q127" i="1"/>
  <c r="L127" i="1"/>
  <c r="H127" i="1"/>
  <c r="Y126" i="1"/>
  <c r="U126" i="1"/>
  <c r="Q126" i="1"/>
  <c r="L126" i="1"/>
  <c r="H126" i="1"/>
  <c r="Y125" i="1"/>
  <c r="U125" i="1"/>
  <c r="Q125" i="1"/>
  <c r="L125" i="1"/>
  <c r="H125" i="1"/>
  <c r="Y124" i="1"/>
  <c r="U124" i="1"/>
  <c r="Q124" i="1"/>
  <c r="L124" i="1"/>
  <c r="H124" i="1"/>
  <c r="Y123" i="1"/>
  <c r="U123" i="1"/>
  <c r="Q123" i="1"/>
  <c r="L123" i="1"/>
  <c r="H123" i="1"/>
  <c r="Y122" i="1"/>
  <c r="U122" i="1"/>
  <c r="Q122" i="1"/>
  <c r="L122" i="1"/>
  <c r="H122" i="1"/>
  <c r="Y121" i="1"/>
  <c r="U121" i="1"/>
  <c r="Q121" i="1"/>
  <c r="L121" i="1"/>
  <c r="H121" i="1"/>
  <c r="Y120" i="1"/>
  <c r="U120" i="1"/>
  <c r="Q120" i="1"/>
  <c r="L120" i="1"/>
  <c r="H120" i="1"/>
  <c r="Y119" i="1"/>
  <c r="U119" i="1"/>
  <c r="Q119" i="1"/>
  <c r="L119" i="1"/>
  <c r="H119" i="1"/>
  <c r="Y118" i="1"/>
  <c r="U118" i="1"/>
  <c r="Q118" i="1"/>
  <c r="L118" i="1"/>
  <c r="H118" i="1"/>
  <c r="Y117" i="1"/>
  <c r="U117" i="1"/>
  <c r="Q117" i="1"/>
  <c r="L117" i="1"/>
  <c r="H117" i="1"/>
  <c r="Y116" i="1"/>
  <c r="U116" i="1"/>
  <c r="Q116" i="1"/>
  <c r="L116" i="1"/>
  <c r="H116" i="1"/>
  <c r="Y115" i="1"/>
  <c r="U115" i="1"/>
  <c r="Q115" i="1"/>
  <c r="L115" i="1"/>
  <c r="H115" i="1"/>
  <c r="Y114" i="1"/>
  <c r="U114" i="1"/>
  <c r="Q114" i="1"/>
  <c r="L114" i="1"/>
  <c r="H114" i="1"/>
  <c r="Y107" i="1"/>
  <c r="U107" i="1"/>
  <c r="Q107" i="1"/>
  <c r="L107" i="1"/>
  <c r="H107" i="1"/>
  <c r="D107" i="1"/>
  <c r="Y106" i="1"/>
  <c r="U106" i="1"/>
  <c r="Q106" i="1"/>
  <c r="L106" i="1"/>
  <c r="H106" i="1"/>
  <c r="D106" i="1"/>
  <c r="Y105" i="1"/>
  <c r="U105" i="1"/>
  <c r="Q105" i="1"/>
  <c r="L105" i="1"/>
  <c r="H105" i="1"/>
  <c r="D105" i="1"/>
  <c r="Y104" i="1"/>
  <c r="U104" i="1"/>
  <c r="Q104" i="1"/>
  <c r="L104" i="1"/>
  <c r="H104" i="1"/>
  <c r="D104" i="1"/>
  <c r="Y103" i="1"/>
  <c r="U103" i="1"/>
  <c r="Q103" i="1"/>
  <c r="L103" i="1"/>
  <c r="H103" i="1"/>
  <c r="D103" i="1"/>
  <c r="Y102" i="1"/>
  <c r="U102" i="1"/>
  <c r="Q102" i="1"/>
  <c r="L102" i="1"/>
  <c r="H102" i="1"/>
  <c r="D102" i="1"/>
  <c r="Y101" i="1"/>
  <c r="U101" i="1"/>
  <c r="Q101" i="1"/>
  <c r="L101" i="1"/>
  <c r="H101" i="1"/>
  <c r="D101" i="1"/>
  <c r="Y100" i="1"/>
  <c r="U100" i="1"/>
  <c r="Q100" i="1"/>
  <c r="L100" i="1"/>
  <c r="H100" i="1"/>
  <c r="D100" i="1"/>
  <c r="Y99" i="1"/>
  <c r="U99" i="1"/>
  <c r="Q99" i="1"/>
  <c r="L99" i="1"/>
  <c r="H99" i="1"/>
  <c r="D99" i="1"/>
  <c r="Y98" i="1"/>
  <c r="U98" i="1"/>
  <c r="Q98" i="1"/>
  <c r="L98" i="1"/>
  <c r="H98" i="1"/>
  <c r="D98" i="1"/>
  <c r="Y97" i="1"/>
  <c r="U97" i="1"/>
  <c r="Q97" i="1"/>
  <c r="L97" i="1"/>
  <c r="H97" i="1"/>
  <c r="D97" i="1"/>
  <c r="Y96" i="1"/>
  <c r="U96" i="1"/>
  <c r="Q96" i="1"/>
  <c r="L96" i="1"/>
  <c r="H96" i="1"/>
  <c r="D96" i="1"/>
  <c r="Y95" i="1"/>
  <c r="U95" i="1"/>
  <c r="Q95" i="1"/>
  <c r="L95" i="1"/>
  <c r="H95" i="1"/>
  <c r="D95" i="1"/>
  <c r="Y94" i="1"/>
  <c r="U94" i="1"/>
  <c r="Q94" i="1"/>
  <c r="L94" i="1"/>
  <c r="H94" i="1"/>
  <c r="D94" i="1"/>
  <c r="Y93" i="1"/>
  <c r="U93" i="1"/>
  <c r="Q93" i="1"/>
  <c r="L93" i="1"/>
  <c r="H93" i="1"/>
  <c r="D93" i="1"/>
  <c r="Y92" i="1"/>
  <c r="U92" i="1"/>
  <c r="Q92" i="1"/>
  <c r="L92" i="1"/>
  <c r="H92" i="1"/>
  <c r="D92" i="1"/>
  <c r="Y91" i="1"/>
  <c r="U91" i="1"/>
  <c r="Q91" i="1"/>
  <c r="L91" i="1"/>
  <c r="H91" i="1"/>
  <c r="D91" i="1"/>
  <c r="Y90" i="1"/>
  <c r="U90" i="1"/>
  <c r="Q90" i="1"/>
  <c r="L90" i="1"/>
  <c r="H90" i="1"/>
  <c r="D90" i="1"/>
  <c r="Y89" i="1"/>
  <c r="U89" i="1"/>
  <c r="Q89" i="1"/>
  <c r="L89" i="1"/>
  <c r="H89" i="1"/>
  <c r="D89" i="1"/>
  <c r="Y88" i="1"/>
  <c r="U88" i="1"/>
  <c r="Q88" i="1"/>
  <c r="L88" i="1"/>
  <c r="H88" i="1"/>
  <c r="D88" i="1"/>
  <c r="Y87" i="1"/>
  <c r="U87" i="1"/>
  <c r="Q87" i="1"/>
  <c r="L87" i="1"/>
  <c r="H87" i="1"/>
  <c r="D87" i="1"/>
  <c r="Y86" i="1"/>
  <c r="U86" i="1"/>
  <c r="Q86" i="1"/>
  <c r="L86" i="1"/>
  <c r="H86" i="1"/>
  <c r="D86" i="1"/>
  <c r="Y85" i="1"/>
  <c r="U85" i="1"/>
  <c r="Q85" i="1"/>
  <c r="L85" i="1"/>
  <c r="H85" i="1"/>
  <c r="D85" i="1"/>
  <c r="Y84" i="1"/>
  <c r="U84" i="1"/>
  <c r="Q84" i="1"/>
  <c r="L84" i="1"/>
  <c r="H84" i="1"/>
  <c r="D84" i="1"/>
  <c r="Y83" i="1"/>
  <c r="U83" i="1"/>
  <c r="Q83" i="1"/>
  <c r="L83" i="1"/>
  <c r="H83" i="1"/>
  <c r="D83" i="1"/>
  <c r="Y82" i="1"/>
  <c r="U82" i="1"/>
  <c r="Q82" i="1"/>
  <c r="L82" i="1"/>
  <c r="H82" i="1"/>
  <c r="D82" i="1"/>
  <c r="Y81" i="1"/>
  <c r="U81" i="1"/>
  <c r="Q81" i="1"/>
  <c r="L81" i="1"/>
  <c r="H81" i="1"/>
  <c r="D81" i="1"/>
  <c r="Y80" i="1"/>
  <c r="U80" i="1"/>
  <c r="Q80" i="1"/>
  <c r="L80" i="1"/>
  <c r="H80" i="1"/>
  <c r="D80" i="1"/>
  <c r="Y79" i="1"/>
  <c r="U79" i="1"/>
  <c r="Q79" i="1"/>
  <c r="L79" i="1"/>
  <c r="H79" i="1"/>
  <c r="D79" i="1"/>
  <c r="Y78" i="1"/>
  <c r="U78" i="1"/>
  <c r="Q78" i="1"/>
  <c r="L78" i="1"/>
  <c r="H78" i="1"/>
  <c r="D78" i="1"/>
  <c r="Y71" i="1"/>
  <c r="U71" i="1"/>
  <c r="Q71" i="1"/>
  <c r="L71" i="1"/>
  <c r="H71" i="1"/>
  <c r="D71" i="1"/>
  <c r="Y70" i="1"/>
  <c r="U70" i="1"/>
  <c r="Q70" i="1"/>
  <c r="L70" i="1"/>
  <c r="H70" i="1"/>
  <c r="D70" i="1"/>
  <c r="Y69" i="1"/>
  <c r="U69" i="1"/>
  <c r="Q69" i="1"/>
  <c r="L69" i="1"/>
  <c r="H69" i="1"/>
  <c r="D69" i="1"/>
  <c r="Y68" i="1"/>
  <c r="U68" i="1"/>
  <c r="Q68" i="1"/>
  <c r="L68" i="1"/>
  <c r="H68" i="1"/>
  <c r="D68" i="1"/>
  <c r="Y67" i="1"/>
  <c r="U67" i="1"/>
  <c r="Q67" i="1"/>
  <c r="L67" i="1"/>
  <c r="H67" i="1"/>
  <c r="D67" i="1"/>
  <c r="Y66" i="1"/>
  <c r="U66" i="1"/>
  <c r="Q66" i="1"/>
  <c r="L66" i="1"/>
  <c r="H66" i="1"/>
  <c r="D66" i="1"/>
  <c r="Y65" i="1"/>
  <c r="U65" i="1"/>
  <c r="Q65" i="1"/>
  <c r="L65" i="1"/>
  <c r="H65" i="1"/>
  <c r="D65" i="1"/>
  <c r="Y64" i="1"/>
  <c r="U64" i="1"/>
  <c r="Q64" i="1"/>
  <c r="L64" i="1"/>
  <c r="H64" i="1"/>
  <c r="D64" i="1"/>
  <c r="Y63" i="1"/>
  <c r="U63" i="1"/>
  <c r="Q63" i="1"/>
  <c r="L63" i="1"/>
  <c r="H63" i="1"/>
  <c r="D63" i="1"/>
  <c r="Y62" i="1"/>
  <c r="U62" i="1"/>
  <c r="Q62" i="1"/>
  <c r="L62" i="1"/>
  <c r="H62" i="1"/>
  <c r="D62" i="1"/>
  <c r="Y61" i="1"/>
  <c r="U61" i="1"/>
  <c r="Q61" i="1"/>
  <c r="L61" i="1"/>
  <c r="H61" i="1"/>
  <c r="D61" i="1"/>
  <c r="Y60" i="1"/>
  <c r="U60" i="1"/>
  <c r="Q60" i="1"/>
  <c r="L60" i="1"/>
  <c r="H60" i="1"/>
  <c r="D60" i="1"/>
  <c r="Y59" i="1"/>
  <c r="U59" i="1"/>
  <c r="Q59" i="1"/>
  <c r="L59" i="1"/>
  <c r="H59" i="1"/>
  <c r="D59" i="1"/>
  <c r="Y58" i="1"/>
  <c r="U58" i="1"/>
  <c r="Q58" i="1"/>
  <c r="L58" i="1"/>
  <c r="H58" i="1"/>
  <c r="D58" i="1"/>
  <c r="Y57" i="1"/>
  <c r="U57" i="1"/>
  <c r="Q57" i="1"/>
  <c r="L57" i="1"/>
  <c r="H57" i="1"/>
  <c r="D57" i="1"/>
  <c r="Y56" i="1"/>
  <c r="U56" i="1"/>
  <c r="Q56" i="1"/>
  <c r="L56" i="1"/>
  <c r="H56" i="1"/>
  <c r="D56" i="1"/>
  <c r="Y55" i="1"/>
  <c r="U55" i="1"/>
  <c r="Q55" i="1"/>
  <c r="L55" i="1"/>
  <c r="H55" i="1"/>
  <c r="D55" i="1"/>
  <c r="Y54" i="1"/>
  <c r="U54" i="1"/>
  <c r="Q54" i="1"/>
  <c r="L54" i="1"/>
  <c r="H54" i="1"/>
  <c r="D54" i="1"/>
  <c r="Y53" i="1"/>
  <c r="U53" i="1"/>
  <c r="Q53" i="1"/>
  <c r="L53" i="1"/>
  <c r="H53" i="1"/>
  <c r="D53" i="1"/>
  <c r="Y52" i="1"/>
  <c r="U52" i="1"/>
  <c r="Q52" i="1"/>
  <c r="L52" i="1"/>
  <c r="H52" i="1"/>
  <c r="D52" i="1"/>
  <c r="Y51" i="1"/>
  <c r="U51" i="1"/>
  <c r="Q51" i="1"/>
  <c r="L51" i="1"/>
  <c r="H51" i="1"/>
  <c r="D51" i="1"/>
  <c r="Y50" i="1"/>
  <c r="U50" i="1"/>
  <c r="Q50" i="1"/>
  <c r="L50" i="1"/>
  <c r="H50" i="1"/>
  <c r="D50" i="1"/>
  <c r="Y49" i="1"/>
  <c r="U49" i="1"/>
  <c r="Q49" i="1"/>
  <c r="L49" i="1"/>
  <c r="H49" i="1"/>
  <c r="D49" i="1"/>
  <c r="Y48" i="1"/>
  <c r="U48" i="1"/>
  <c r="Q48" i="1"/>
  <c r="L48" i="1"/>
  <c r="H48" i="1"/>
  <c r="D48" i="1"/>
  <c r="Y47" i="1"/>
  <c r="U47" i="1"/>
  <c r="Q47" i="1"/>
  <c r="L47" i="1"/>
  <c r="H47" i="1"/>
  <c r="D47" i="1"/>
  <c r="Y46" i="1"/>
  <c r="U46" i="1"/>
  <c r="Q46" i="1"/>
  <c r="L46" i="1"/>
  <c r="H46" i="1"/>
  <c r="D46" i="1"/>
  <c r="Y45" i="1"/>
  <c r="U45" i="1"/>
  <c r="Q45" i="1"/>
  <c r="L45" i="1"/>
  <c r="H45" i="1"/>
  <c r="D45" i="1"/>
  <c r="Y44" i="1"/>
  <c r="U44" i="1"/>
  <c r="Q44" i="1"/>
  <c r="L44" i="1"/>
  <c r="H44" i="1"/>
  <c r="D44" i="1"/>
  <c r="Y43" i="1"/>
  <c r="U43" i="1"/>
  <c r="Q43" i="1"/>
  <c r="L43" i="1"/>
  <c r="H43" i="1"/>
  <c r="D43" i="1"/>
  <c r="Y42" i="1"/>
  <c r="U42" i="1"/>
  <c r="Q42" i="1"/>
  <c r="L42" i="1"/>
  <c r="H42" i="1"/>
  <c r="D42" i="1"/>
  <c r="Y35" i="1"/>
  <c r="U35" i="1"/>
  <c r="Q35" i="1"/>
  <c r="L35" i="1"/>
  <c r="H35" i="1"/>
  <c r="D35" i="1"/>
  <c r="Y34" i="1"/>
  <c r="U34" i="1"/>
  <c r="Q34" i="1"/>
  <c r="L34" i="1"/>
  <c r="H34" i="1"/>
  <c r="D34" i="1"/>
  <c r="Y33" i="1"/>
  <c r="U33" i="1"/>
  <c r="Q33" i="1"/>
  <c r="L33" i="1"/>
  <c r="H33" i="1"/>
  <c r="D33" i="1"/>
  <c r="Y32" i="1"/>
  <c r="U32" i="1"/>
  <c r="Q32" i="1"/>
  <c r="L32" i="1"/>
  <c r="H32" i="1"/>
  <c r="D32" i="1"/>
  <c r="Y31" i="1"/>
  <c r="U31" i="1"/>
  <c r="Q31" i="1"/>
  <c r="L31" i="1"/>
  <c r="H31" i="1"/>
  <c r="D31" i="1"/>
  <c r="Y30" i="1"/>
  <c r="U30" i="1"/>
  <c r="Q30" i="1"/>
  <c r="L30" i="1"/>
  <c r="H30" i="1"/>
  <c r="D30" i="1"/>
  <c r="Y29" i="1"/>
  <c r="U29" i="1"/>
  <c r="Q29" i="1"/>
  <c r="L29" i="1"/>
  <c r="H29" i="1"/>
  <c r="D29" i="1"/>
  <c r="Y28" i="1"/>
  <c r="U28" i="1"/>
  <c r="Q28" i="1"/>
  <c r="L28" i="1"/>
  <c r="H28" i="1"/>
  <c r="D28" i="1"/>
  <c r="Y27" i="1"/>
  <c r="U27" i="1"/>
  <c r="Q27" i="1"/>
  <c r="L27" i="1"/>
  <c r="H27" i="1"/>
  <c r="D27" i="1"/>
  <c r="Y26" i="1"/>
  <c r="U26" i="1"/>
  <c r="Q26" i="1"/>
  <c r="L26" i="1"/>
  <c r="H26" i="1"/>
  <c r="D26" i="1"/>
  <c r="Y25" i="1"/>
  <c r="U25" i="1"/>
  <c r="Q25" i="1"/>
  <c r="L25" i="1"/>
  <c r="H25" i="1"/>
  <c r="D25" i="1"/>
  <c r="Y24" i="1"/>
  <c r="U24" i="1"/>
  <c r="Q24" i="1"/>
  <c r="L24" i="1"/>
  <c r="H24" i="1"/>
  <c r="D24" i="1"/>
  <c r="Y23" i="1"/>
  <c r="U23" i="1"/>
  <c r="Q23" i="1"/>
  <c r="L23" i="1"/>
  <c r="H23" i="1"/>
  <c r="D23" i="1"/>
  <c r="Y22" i="1"/>
  <c r="U22" i="1"/>
  <c r="Q22" i="1"/>
  <c r="L22" i="1"/>
  <c r="H22" i="1"/>
  <c r="D22" i="1"/>
  <c r="Y21" i="1"/>
  <c r="U21" i="1"/>
  <c r="Q21" i="1"/>
  <c r="L21" i="1"/>
  <c r="H21" i="1"/>
  <c r="D21" i="1"/>
  <c r="Y20" i="1"/>
  <c r="U20" i="1"/>
  <c r="Q20" i="1"/>
  <c r="L20" i="1"/>
  <c r="H20" i="1"/>
  <c r="D20" i="1"/>
  <c r="Y19" i="1"/>
  <c r="U19" i="1"/>
  <c r="Q19" i="1"/>
  <c r="L19" i="1"/>
  <c r="H19" i="1"/>
  <c r="D19" i="1"/>
  <c r="Y18" i="1"/>
  <c r="U18" i="1"/>
  <c r="Q18" i="1"/>
  <c r="L18" i="1"/>
  <c r="H18" i="1"/>
  <c r="D18" i="1"/>
  <c r="Y17" i="1"/>
  <c r="U17" i="1"/>
  <c r="Q17" i="1"/>
  <c r="L17" i="1"/>
  <c r="H17" i="1"/>
  <c r="D17" i="1"/>
  <c r="Y16" i="1"/>
  <c r="U16" i="1"/>
  <c r="Q16" i="1"/>
  <c r="L16" i="1"/>
  <c r="H16" i="1"/>
  <c r="D16" i="1"/>
  <c r="Y15" i="1"/>
  <c r="U15" i="1"/>
  <c r="Q15" i="1"/>
  <c r="L15" i="1"/>
  <c r="H15" i="1"/>
  <c r="D15" i="1"/>
  <c r="Y14" i="1"/>
  <c r="U14" i="1"/>
  <c r="Q14" i="1"/>
  <c r="L14" i="1"/>
  <c r="H14" i="1"/>
  <c r="D14" i="1"/>
  <c r="Y13" i="1"/>
  <c r="U13" i="1"/>
  <c r="Q13" i="1"/>
  <c r="L13" i="1"/>
  <c r="H13" i="1"/>
  <c r="D13" i="1"/>
  <c r="Y12" i="1"/>
  <c r="U12" i="1"/>
  <c r="Q12" i="1"/>
  <c r="L12" i="1"/>
  <c r="H12" i="1"/>
  <c r="D12" i="1"/>
  <c r="Y11" i="1"/>
  <c r="U11" i="1"/>
  <c r="Q11" i="1"/>
  <c r="L11" i="1"/>
  <c r="H11" i="1"/>
  <c r="D11" i="1"/>
  <c r="Y10" i="1"/>
  <c r="U10" i="1"/>
  <c r="Q10" i="1"/>
  <c r="L10" i="1"/>
  <c r="H10" i="1"/>
  <c r="D10" i="1"/>
  <c r="Y9" i="1"/>
  <c r="U9" i="1"/>
  <c r="Q9" i="1"/>
  <c r="L9" i="1"/>
  <c r="H9" i="1"/>
  <c r="D9" i="1"/>
  <c r="Y8" i="1"/>
  <c r="U8" i="1"/>
  <c r="Q8" i="1"/>
  <c r="L8" i="1"/>
  <c r="H8" i="1"/>
  <c r="D8" i="1"/>
  <c r="Y7" i="1"/>
  <c r="U7" i="1"/>
  <c r="Q7" i="1"/>
  <c r="L7" i="1"/>
  <c r="H7" i="1"/>
  <c r="D7" i="1"/>
  <c r="Y6" i="1"/>
  <c r="U6" i="1"/>
  <c r="Q6" i="1"/>
  <c r="L6" i="1"/>
  <c r="H6" i="1"/>
  <c r="D6" i="1"/>
  <c r="F31" i="2" l="1"/>
  <c r="L75" i="2"/>
  <c r="H97" i="2"/>
  <c r="P109" i="2"/>
  <c r="I120" i="2"/>
  <c r="D10" i="2"/>
  <c r="L10" i="2"/>
  <c r="S9" i="2"/>
  <c r="G32" i="2"/>
  <c r="M32" i="2"/>
  <c r="M75" i="2"/>
  <c r="I42" i="2"/>
  <c r="L109" i="2"/>
  <c r="K120" i="2"/>
  <c r="E120" i="2"/>
  <c r="O9" i="2"/>
  <c r="F21" i="2"/>
  <c r="J21" i="2"/>
  <c r="N21" i="2"/>
  <c r="C32" i="2"/>
  <c r="C42" i="2"/>
  <c r="G42" i="2"/>
  <c r="D53" i="2"/>
  <c r="K86" i="2"/>
  <c r="C98" i="2"/>
  <c r="G98" i="2"/>
  <c r="D108" i="2"/>
  <c r="G9" i="2"/>
  <c r="C9" i="2"/>
  <c r="F119" i="2"/>
  <c r="N120" i="2"/>
  <c r="R10" i="2"/>
  <c r="E75" i="2"/>
  <c r="D87" i="2"/>
  <c r="K9" i="2"/>
  <c r="D32" i="2"/>
  <c r="L21" i="2"/>
  <c r="I76" i="2"/>
  <c r="E86" i="2"/>
</calcChain>
</file>

<file path=xl/sharedStrings.xml><?xml version="1.0" encoding="utf-8"?>
<sst xmlns="http://schemas.openxmlformats.org/spreadsheetml/2006/main" count="896" uniqueCount="125">
  <si>
    <t>C</t>
  </si>
  <si>
    <t>PR6</t>
  </si>
  <si>
    <t>B</t>
  </si>
  <si>
    <t>A</t>
  </si>
  <si>
    <t>SD</t>
  </si>
  <si>
    <t>PR5</t>
  </si>
  <si>
    <t>PR4</t>
  </si>
  <si>
    <t>PR2</t>
  </si>
  <si>
    <t>PR1</t>
  </si>
  <si>
    <t>Temp</t>
  </si>
  <si>
    <t>Exponential phase</t>
  </si>
  <si>
    <t>15 °C</t>
  </si>
  <si>
    <t>PR3</t>
  </si>
  <si>
    <t>10 °C</t>
  </si>
  <si>
    <t>Cell Size Measurement PR3 1ºC Exponential Phase</t>
  </si>
  <si>
    <t>Cell Size Measurement PR3 1ºC Stationary Phase</t>
  </si>
  <si>
    <t>Cell Nº</t>
  </si>
  <si>
    <r>
      <t>L (</t>
    </r>
    <r>
      <rPr>
        <sz val="11"/>
        <color indexed="8"/>
        <rFont val="Times New Roman"/>
        <family val="1"/>
      </rPr>
      <t>µ</t>
    </r>
    <r>
      <rPr>
        <sz val="11"/>
        <color indexed="8"/>
        <rFont val="Calibri"/>
        <family val="2"/>
      </rPr>
      <t>m)</t>
    </r>
  </si>
  <si>
    <r>
      <t>W (</t>
    </r>
    <r>
      <rPr>
        <sz val="11"/>
        <color indexed="8"/>
        <rFont val="Times New Roman"/>
        <family val="1"/>
      </rPr>
      <t>µ</t>
    </r>
    <r>
      <rPr>
        <sz val="11"/>
        <color indexed="8"/>
        <rFont val="Calibri"/>
        <family val="2"/>
      </rPr>
      <t>m)</t>
    </r>
  </si>
  <si>
    <t>Ratio L/W</t>
  </si>
  <si>
    <t>Cell Size Measurement PR3 5ºC Exponential Phase</t>
  </si>
  <si>
    <t>Cell Size Measurement PR3 5ºC Stationary Phase</t>
  </si>
  <si>
    <t>Cell Size Measurement PR3 10ºC Exponential Phase</t>
  </si>
  <si>
    <t>Cell Size Measurement PR3 10ºC Stationary Phase</t>
  </si>
  <si>
    <t>Cell Size Measurement PR3 15ºC Exponential Phase</t>
  </si>
  <si>
    <t>Cell Size Measurement PR3 15ºC Stationary Phase</t>
  </si>
  <si>
    <t>Cell Size Measurement PR3 20ºC Exponential Phase</t>
  </si>
  <si>
    <t>Cell Size Measurement PR3 20ºC Stationary Phase</t>
  </si>
  <si>
    <t>Cell Size Measurement PR1 10ºC Exponential Phase</t>
  </si>
  <si>
    <t>Cell Size Measurement PR1 10ºC Stationary Phase</t>
  </si>
  <si>
    <t>Cell Size Measurement PR2 10ºC Exponential Phase</t>
  </si>
  <si>
    <t>Cell Size Measurement PR2 10ºC Stationary Phase</t>
  </si>
  <si>
    <t>Cell Size Measurement PR4 10ºC Exponential Phase</t>
  </si>
  <si>
    <t>Cell Size Measurement PR4 10ºC Stationary Phase</t>
  </si>
  <si>
    <t>Cell Size Measurement PR5 10ºC Exponential Phase</t>
  </si>
  <si>
    <t>Cell Size Measurement PR5 10ºC Stationary Phase</t>
  </si>
  <si>
    <t>Cell Size Measurement PR6 10ºC Exponential Phase</t>
  </si>
  <si>
    <t>Cell Size Measurement PR6 10ºC Stationary Phase</t>
  </si>
  <si>
    <t>Medium 1/10</t>
  </si>
  <si>
    <t>a</t>
  </si>
  <si>
    <t>b</t>
  </si>
  <si>
    <t>c</t>
  </si>
  <si>
    <t>Average</t>
  </si>
  <si>
    <t>Days</t>
  </si>
  <si>
    <t xml:space="preserve">PR3 </t>
  </si>
  <si>
    <t>22/0472014</t>
  </si>
  <si>
    <t xml:space="preserve">PR2 </t>
  </si>
  <si>
    <t>Log[PR]</t>
  </si>
  <si>
    <t>Stationary</t>
  </si>
  <si>
    <t>Exponential</t>
  </si>
  <si>
    <r>
      <t>20</t>
    </r>
    <r>
      <rPr>
        <sz val="11"/>
        <color indexed="8"/>
        <rFont val="Calibri"/>
        <family val="2"/>
      </rPr>
      <t>°C</t>
    </r>
  </si>
  <si>
    <t>15°C</t>
  </si>
  <si>
    <t>10°C</t>
  </si>
  <si>
    <t>5°C</t>
  </si>
  <si>
    <t>1°C</t>
  </si>
  <si>
    <t>YTX Cell Quota PR3 for 5 Temperatures</t>
  </si>
  <si>
    <t>YTX Cell Quota for 6 diferent Isolates</t>
  </si>
  <si>
    <r>
      <t xml:space="preserve">Growth and bioactive secondary metabolites of arctic </t>
    </r>
    <r>
      <rPr>
        <i/>
        <sz val="16"/>
        <color indexed="8"/>
        <rFont val="Times New Roman"/>
        <family val="1"/>
      </rPr>
      <t>Protoceratium reticulatum</t>
    </r>
    <r>
      <rPr>
        <sz val="16"/>
        <color indexed="8"/>
        <rFont val="Times New Roman"/>
        <family val="1"/>
      </rPr>
      <t xml:space="preserve"> (Dinophyceae)</t>
    </r>
  </si>
  <si>
    <r>
      <t>Manuel Sala Pérez</t>
    </r>
    <r>
      <rPr>
        <vertAlign val="superscript"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>, Tilman Alpermann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, Bernd Krock</t>
    </r>
    <r>
      <rPr>
        <vertAlign val="superscript"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>, Urban Tillmann</t>
    </r>
    <r>
      <rPr>
        <vertAlign val="superscript"/>
        <sz val="12"/>
        <color indexed="8"/>
        <rFont val="Times New Roman"/>
        <family val="1"/>
      </rPr>
      <t>1*</t>
    </r>
  </si>
  <si>
    <t xml:space="preserve">This file contain all the data obtained during the experiments and used in the paper mentioned above. </t>
  </si>
  <si>
    <t>PR3 at 1ºC Growth data of the 3 replicates (a, b, c), Cell/mL</t>
  </si>
  <si>
    <t>PR3 at 10ºC Growth data of the 3 replicates (a, b, c); Cell/mL</t>
  </si>
  <si>
    <t>PR3 at 5ºC Growth data of the 3 replicates (a, b, c); Cell/mL</t>
  </si>
  <si>
    <t>PR3 at 15ºC Growth data of the 3 replicates (a, b, c); Cell/mL</t>
  </si>
  <si>
    <t>PR3 at 20ºC Growth data of the 3 replicates (a, b, c); Cell/mL</t>
  </si>
  <si>
    <t>PR3 at 25ºC Growth data of the 3 replicates (a, b, c); Cell/mL</t>
  </si>
  <si>
    <t>PR2 at 10ºC Growth data of the 3 replicates (a, b, c); Cell/mL</t>
  </si>
  <si>
    <t>PR1 at 10ºC Growth data of the 3 replicates (a, b, c); Cell/mL</t>
  </si>
  <si>
    <t>PR4 at 10ºC Growth data of the 3 replicates (a, b, c); Cell/mL</t>
  </si>
  <si>
    <t>PR5 at 10ºC Growth data of the 3 replicates (a, b, c); Cell/mL</t>
  </si>
  <si>
    <t>PR6 at 10ºC Growth data of the 3 replicates (a, b, c); Cell/mL</t>
  </si>
  <si>
    <t>Concentration cell/ml</t>
  </si>
  <si>
    <t>A, B, C : replicate cultures</t>
  </si>
  <si>
    <t>* Replicates in red were not use for calculating mean values</t>
  </si>
  <si>
    <t>Yessotoxin, intracellular, technical replicates (1, 2) for replicate cultures (A, B, C)</t>
  </si>
  <si>
    <t>PR1/2/3/4/5/6 denotes different isolates of Protoceratium reticulatum</t>
  </si>
  <si>
    <t>Yessotoxin, all values as pg per cell</t>
  </si>
  <si>
    <t>A, B, C = replicate cultures</t>
  </si>
  <si>
    <t>"Extracellular" based on cell pellets, "intracellular" based on supernatant</t>
  </si>
  <si>
    <t>extracellular</t>
  </si>
  <si>
    <t>intracellular</t>
  </si>
  <si>
    <t>mean</t>
  </si>
  <si>
    <t>1 °C</t>
  </si>
  <si>
    <t>5 °C</t>
  </si>
  <si>
    <t>20 °C</t>
  </si>
  <si>
    <t>stationary phase</t>
  </si>
  <si>
    <t>Isolates</t>
  </si>
  <si>
    <t>exponential phase</t>
  </si>
  <si>
    <t>Isolate</t>
  </si>
  <si>
    <t>Pr1</t>
  </si>
  <si>
    <t>Pr2</t>
  </si>
  <si>
    <t>Pr3</t>
  </si>
  <si>
    <t>Pr4</t>
  </si>
  <si>
    <t>Pr5</t>
  </si>
  <si>
    <t>Pr6</t>
  </si>
  <si>
    <t>P. reticulatum concentration in the bioassay (different dilutions), Log transformed, mean of two technical replicates</t>
  </si>
  <si>
    <t>% of Blank Mean (mean of two technical replicates)</t>
  </si>
  <si>
    <t>% of Rhodomonas cells that survive after the experiment, referred to the 100% which is the number of cells of Rhodomonas in the Blank (dinoflagellates free culture)</t>
  </si>
  <si>
    <t>± range: range of two technical replicates</t>
  </si>
  <si>
    <t>A, B, C: three replicate cultures</t>
  </si>
  <si>
    <t>Bioassay PR3 0ºC Exponential Phase</t>
  </si>
  <si>
    <t>% of Blank Mean</t>
  </si>
  <si>
    <t>± range</t>
  </si>
  <si>
    <t>Bioassay PR3 0ºC Stationary Phase</t>
  </si>
  <si>
    <t>Bioassay PR3 5ºC Exponential Phase</t>
  </si>
  <si>
    <t>Bioassay PR3 5ºC Stationary Phase</t>
  </si>
  <si>
    <t>Bioassay PR3 10ºC Exponential Phase</t>
  </si>
  <si>
    <t>Bioassay PR3 10ºC Stationary Phase</t>
  </si>
  <si>
    <t>Bioassay PR3 15ºC Exponential Phase</t>
  </si>
  <si>
    <t>Bioassay PR3 15ºC Stationary Phase</t>
  </si>
  <si>
    <t>Bioassay PR3 20ºC Exponential Phase</t>
  </si>
  <si>
    <t>Bioassay PR3 20ºC Stationary Phase</t>
  </si>
  <si>
    <t>P. reticulatum concentration in the bioassay (different dilutions)</t>
  </si>
  <si>
    <t>Bioassay PR1 10ºC Exponential Phase</t>
  </si>
  <si>
    <t>Bioassay PR1 10ºC Stationary Phase</t>
  </si>
  <si>
    <t>Bioassay PR2 10ºC Exponential Phase</t>
  </si>
  <si>
    <t>Bioassay PR2 10ºC Stationary Phase</t>
  </si>
  <si>
    <t>Bioassay PR4 10ºC Exponential Phase</t>
  </si>
  <si>
    <t>Bioassay PR4 10ºC Stationary Phase</t>
  </si>
  <si>
    <t>Bioassay PR5 10ºC Exponential Phase</t>
  </si>
  <si>
    <t>Bioassay PR5 10ºC Stationary Phase</t>
  </si>
  <si>
    <t>Bioassay PR6 10ºC Exponential Phase</t>
  </si>
  <si>
    <t>Bioassay PR6 10ºC Stationary Phase</t>
  </si>
  <si>
    <t>intracelluar concentrations are backcalculated from measured values with the experimentally determined SPE recovery rate of 52 %</t>
  </si>
  <si>
    <t>all data in pg YTX per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</si>
</sst>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6"/>
      <color indexed="8"/>
      <name val="Times New Roman"/>
      <family val="1"/>
    </font>
    <font>
      <i/>
      <sz val="16"/>
      <color indexed="8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0" fontId="0" fillId="0" borderId="0" xfId="0" applyAlignment="1">
      <alignment horizontal="right"/>
    </xf>
    <xf numFmtId="1" fontId="0" fillId="0" borderId="0" xfId="0" applyNumberFormat="1"/>
    <xf numFmtId="0" fontId="8" fillId="2" borderId="0" xfId="0" applyFont="1" applyFill="1" applyAlignment="1">
      <alignment horizontal="center"/>
    </xf>
    <xf numFmtId="165" fontId="0" fillId="0" borderId="0" xfId="0" applyNumberFormat="1"/>
    <xf numFmtId="0" fontId="8" fillId="0" borderId="0" xfId="0" applyFont="1"/>
    <xf numFmtId="14" fontId="0" fillId="0" borderId="0" xfId="0" applyNumberFormat="1"/>
    <xf numFmtId="16" fontId="0" fillId="0" borderId="0" xfId="0" applyNumberFormat="1"/>
    <xf numFmtId="0" fontId="0" fillId="0" borderId="0" xfId="0" applyFill="1" applyAlignment="1"/>
    <xf numFmtId="0" fontId="9" fillId="0" borderId="0" xfId="0" applyFont="1"/>
    <xf numFmtId="0" fontId="10" fillId="0" borderId="0" xfId="0" applyFont="1"/>
    <xf numFmtId="0" fontId="0" fillId="0" borderId="0" xfId="0" applyFill="1"/>
    <xf numFmtId="0" fontId="11" fillId="0" borderId="0" xfId="0" applyFont="1" applyFill="1" applyAlignme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0" fillId="0" borderId="0" xfId="0" applyNumberFormat="1" applyFont="1" applyFill="1"/>
    <xf numFmtId="164" fontId="0" fillId="0" borderId="0" xfId="0" applyNumberFormat="1" applyFill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6" sqref="A6"/>
    </sheetView>
  </sheetViews>
  <sheetFormatPr baseColWidth="10" defaultRowHeight="14.4" x14ac:dyDescent="0.3"/>
  <sheetData>
    <row r="1" spans="1:1" ht="21" x14ac:dyDescent="0.3">
      <c r="A1" s="16" t="s">
        <v>57</v>
      </c>
    </row>
    <row r="2" spans="1:1" ht="15.6" x14ac:dyDescent="0.3">
      <c r="A2" s="17"/>
    </row>
    <row r="3" spans="1:1" ht="18.600000000000001" x14ac:dyDescent="0.3">
      <c r="A3" s="17" t="s">
        <v>58</v>
      </c>
    </row>
    <row r="5" spans="1:1" x14ac:dyDescent="0.3">
      <c r="A5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>
      <selection sqref="A1:H1"/>
    </sheetView>
  </sheetViews>
  <sheetFormatPr baseColWidth="10" defaultRowHeight="14.4" x14ac:dyDescent="0.3"/>
  <cols>
    <col min="1" max="1" width="12.6640625" bestFit="1" customWidth="1"/>
  </cols>
  <sheetData>
    <row r="1" spans="1:22" x14ac:dyDescent="0.3">
      <c r="A1" s="23" t="s">
        <v>60</v>
      </c>
      <c r="B1" s="23"/>
      <c r="C1" s="23"/>
      <c r="D1" s="23"/>
      <c r="E1" s="23"/>
      <c r="F1" s="23"/>
      <c r="G1" s="23"/>
      <c r="H1" s="23"/>
    </row>
    <row r="4" spans="1:22" x14ac:dyDescent="0.3">
      <c r="A4" t="s">
        <v>38</v>
      </c>
      <c r="B4" s="24" t="s">
        <v>71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x14ac:dyDescent="0.3">
      <c r="A5" s="8" t="s">
        <v>12</v>
      </c>
      <c r="B5" s="9">
        <v>41726</v>
      </c>
      <c r="C5" s="9">
        <v>41730</v>
      </c>
      <c r="D5" s="9">
        <v>41736</v>
      </c>
      <c r="E5" s="9">
        <v>41740</v>
      </c>
      <c r="F5" s="9">
        <v>41744</v>
      </c>
      <c r="G5" s="9">
        <v>41748</v>
      </c>
      <c r="H5" s="9">
        <v>41752</v>
      </c>
      <c r="I5" s="9">
        <v>41756</v>
      </c>
      <c r="J5" s="9">
        <v>41758</v>
      </c>
      <c r="K5" s="9">
        <v>41731</v>
      </c>
      <c r="L5" s="9">
        <v>41765</v>
      </c>
      <c r="M5" s="9">
        <v>41768</v>
      </c>
      <c r="N5" s="9">
        <v>41772</v>
      </c>
      <c r="O5" s="9">
        <v>41775</v>
      </c>
      <c r="P5" s="9">
        <v>41779</v>
      </c>
      <c r="Q5" s="9">
        <v>41782</v>
      </c>
      <c r="R5" s="9">
        <v>41787</v>
      </c>
      <c r="S5" s="9">
        <v>41792</v>
      </c>
      <c r="T5" s="9">
        <v>41796</v>
      </c>
      <c r="U5" s="9">
        <v>41800</v>
      </c>
      <c r="V5" s="9">
        <v>41802</v>
      </c>
    </row>
    <row r="6" spans="1:22" x14ac:dyDescent="0.3">
      <c r="A6" s="8" t="s">
        <v>39</v>
      </c>
      <c r="B6">
        <v>370</v>
      </c>
      <c r="C6">
        <f>518</f>
        <v>518</v>
      </c>
      <c r="D6">
        <f>464/0.5</f>
        <v>928</v>
      </c>
      <c r="E6" s="5">
        <f>385/0.4</f>
        <v>962.5</v>
      </c>
      <c r="F6">
        <f>558/0.5</f>
        <v>1116</v>
      </c>
      <c r="G6" s="5">
        <f>561/0.4</f>
        <v>1402.5</v>
      </c>
      <c r="H6">
        <f>548/0.4</f>
        <v>1370</v>
      </c>
      <c r="I6">
        <f>530/0.4</f>
        <v>1325</v>
      </c>
      <c r="J6">
        <f>782/0.4</f>
        <v>1955</v>
      </c>
      <c r="K6">
        <f>457/0.2</f>
        <v>2285</v>
      </c>
      <c r="L6">
        <f>554/0.2</f>
        <v>2770</v>
      </c>
      <c r="M6">
        <f>658/0.2</f>
        <v>3290</v>
      </c>
      <c r="N6">
        <f>443/0.1</f>
        <v>4430</v>
      </c>
      <c r="O6">
        <f>495/0.1</f>
        <v>4950</v>
      </c>
      <c r="P6">
        <f>566/0.1</f>
        <v>5660</v>
      </c>
      <c r="Q6">
        <f>546/0.1</f>
        <v>5460</v>
      </c>
      <c r="R6">
        <f>607/0.1</f>
        <v>6070</v>
      </c>
      <c r="S6">
        <f>674/0.1</f>
        <v>6740</v>
      </c>
      <c r="T6">
        <f>613/0.1</f>
        <v>6130</v>
      </c>
      <c r="U6">
        <f>693/0.1</f>
        <v>6930</v>
      </c>
      <c r="V6">
        <f>666/0.1</f>
        <v>6660</v>
      </c>
    </row>
    <row r="7" spans="1:22" x14ac:dyDescent="0.3">
      <c r="A7" s="8" t="s">
        <v>40</v>
      </c>
      <c r="B7">
        <v>478</v>
      </c>
      <c r="C7">
        <v>498</v>
      </c>
      <c r="D7">
        <f>405/0.5</f>
        <v>810</v>
      </c>
      <c r="E7" s="5">
        <f>450/0.4</f>
        <v>1125</v>
      </c>
      <c r="F7">
        <f>480/0.5</f>
        <v>960</v>
      </c>
      <c r="G7">
        <f>484/0.4</f>
        <v>1210</v>
      </c>
      <c r="H7" s="5">
        <f>541/0.4</f>
        <v>1352.5</v>
      </c>
      <c r="I7">
        <f>716/0.4</f>
        <v>1790</v>
      </c>
      <c r="J7" s="5">
        <f>793/0.4</f>
        <v>1982.5</v>
      </c>
      <c r="K7">
        <f>549/0.2</f>
        <v>2745</v>
      </c>
      <c r="L7">
        <f>733/0.2</f>
        <v>3665</v>
      </c>
      <c r="M7">
        <f>793/0.2</f>
        <v>3965</v>
      </c>
      <c r="N7">
        <f>576/0.1</f>
        <v>5760</v>
      </c>
      <c r="O7">
        <f>565/0.1</f>
        <v>5650</v>
      </c>
      <c r="P7">
        <f>567/0.1</f>
        <v>5670</v>
      </c>
      <c r="Q7">
        <f>611/0.1</f>
        <v>6110</v>
      </c>
      <c r="R7">
        <f>656/0.1</f>
        <v>6560</v>
      </c>
      <c r="S7">
        <f>658/0.1</f>
        <v>6580</v>
      </c>
      <c r="T7">
        <f>661/0.1</f>
        <v>6610</v>
      </c>
      <c r="U7">
        <f>638/0.1</f>
        <v>6380</v>
      </c>
      <c r="V7">
        <f>678/0.1</f>
        <v>6780</v>
      </c>
    </row>
    <row r="8" spans="1:22" x14ac:dyDescent="0.3">
      <c r="A8" s="8" t="s">
        <v>41</v>
      </c>
      <c r="B8">
        <v>422</v>
      </c>
      <c r="C8">
        <v>444</v>
      </c>
      <c r="D8">
        <f>399/0.5</f>
        <v>798</v>
      </c>
      <c r="E8" s="5">
        <f>419/0.4</f>
        <v>1047.5</v>
      </c>
      <c r="F8">
        <f>568/0.5</f>
        <v>1136</v>
      </c>
      <c r="G8">
        <f>524/0.4</f>
        <v>1310</v>
      </c>
      <c r="H8" s="5">
        <f>617/0.4</f>
        <v>1542.5</v>
      </c>
      <c r="I8">
        <f>632/0.4</f>
        <v>1580</v>
      </c>
      <c r="J8">
        <f>878/0.4</f>
        <v>2195</v>
      </c>
      <c r="K8">
        <f>476/0.2</f>
        <v>2380</v>
      </c>
      <c r="L8">
        <f>636/0.2</f>
        <v>3180</v>
      </c>
      <c r="M8">
        <f>721/0.2</f>
        <v>3605</v>
      </c>
      <c r="N8">
        <f>466/0.1</f>
        <v>4660</v>
      </c>
      <c r="O8">
        <f>540/0.1</f>
        <v>5400</v>
      </c>
      <c r="P8">
        <f>540/0.1</f>
        <v>5400</v>
      </c>
      <c r="Q8">
        <f>601/0.1</f>
        <v>6010</v>
      </c>
      <c r="R8">
        <f>690/0.1</f>
        <v>6900</v>
      </c>
      <c r="S8">
        <f>716/0.1</f>
        <v>7160</v>
      </c>
      <c r="T8">
        <f>728/0.1</f>
        <v>7280</v>
      </c>
      <c r="U8">
        <f>721/0.1</f>
        <v>7210</v>
      </c>
      <c r="V8">
        <f>700/0.1</f>
        <v>7000</v>
      </c>
    </row>
    <row r="9" spans="1:22" x14ac:dyDescent="0.3">
      <c r="A9" s="8" t="s">
        <v>42</v>
      </c>
      <c r="B9" s="5">
        <f t="shared" ref="B9:V9" si="0">AVERAGE(B6:B8)</f>
        <v>423.33333333333331</v>
      </c>
      <c r="C9" s="5">
        <f t="shared" si="0"/>
        <v>486.66666666666669</v>
      </c>
      <c r="D9" s="5">
        <f t="shared" si="0"/>
        <v>845.33333333333337</v>
      </c>
      <c r="E9" s="5">
        <f t="shared" si="0"/>
        <v>1045</v>
      </c>
      <c r="F9" s="5">
        <f t="shared" si="0"/>
        <v>1070.6666666666667</v>
      </c>
      <c r="G9" s="5">
        <f t="shared" si="0"/>
        <v>1307.5</v>
      </c>
      <c r="H9" s="5">
        <f t="shared" si="0"/>
        <v>1421.6666666666667</v>
      </c>
      <c r="I9" s="5">
        <f t="shared" si="0"/>
        <v>1565</v>
      </c>
      <c r="J9" s="5">
        <f t="shared" si="0"/>
        <v>2044.1666666666667</v>
      </c>
      <c r="K9" s="5">
        <f t="shared" si="0"/>
        <v>2470</v>
      </c>
      <c r="L9" s="5">
        <f t="shared" si="0"/>
        <v>3205</v>
      </c>
      <c r="M9" s="5">
        <f t="shared" si="0"/>
        <v>3620</v>
      </c>
      <c r="N9" s="5">
        <f t="shared" si="0"/>
        <v>4950</v>
      </c>
      <c r="O9" s="5">
        <f t="shared" si="0"/>
        <v>5333.333333333333</v>
      </c>
      <c r="P9" s="5">
        <f t="shared" si="0"/>
        <v>5576.666666666667</v>
      </c>
      <c r="Q9" s="5">
        <f t="shared" si="0"/>
        <v>5860</v>
      </c>
      <c r="R9" s="5">
        <f t="shared" si="0"/>
        <v>6510</v>
      </c>
      <c r="S9" s="5">
        <f t="shared" si="0"/>
        <v>6826.666666666667</v>
      </c>
      <c r="T9" s="5">
        <f t="shared" si="0"/>
        <v>6673.333333333333</v>
      </c>
      <c r="U9" s="5">
        <f t="shared" si="0"/>
        <v>6840</v>
      </c>
      <c r="V9" s="5">
        <f t="shared" si="0"/>
        <v>6813.333333333333</v>
      </c>
    </row>
    <row r="10" spans="1:22" x14ac:dyDescent="0.3">
      <c r="A10" s="8" t="s">
        <v>4</v>
      </c>
      <c r="B10" s="5">
        <f t="shared" ref="B10:V10" si="1">_xlfn.STDEV.S(B6:B8)</f>
        <v>54.012344268077406</v>
      </c>
      <c r="C10" s="5">
        <f t="shared" si="1"/>
        <v>38.279672586548251</v>
      </c>
      <c r="D10" s="5">
        <f t="shared" si="1"/>
        <v>71.842420152256381</v>
      </c>
      <c r="E10" s="5">
        <f t="shared" si="1"/>
        <v>81.278841035044294</v>
      </c>
      <c r="F10" s="5">
        <f t="shared" si="1"/>
        <v>96.360434480824821</v>
      </c>
      <c r="G10" s="5">
        <f t="shared" si="1"/>
        <v>96.27434756984853</v>
      </c>
      <c r="H10" s="5">
        <f t="shared" si="1"/>
        <v>105.00992016630302</v>
      </c>
      <c r="I10" s="5">
        <f t="shared" si="1"/>
        <v>232.86262044390037</v>
      </c>
      <c r="J10" s="5">
        <f t="shared" si="1"/>
        <v>131.34718624063984</v>
      </c>
      <c r="K10" s="5">
        <f t="shared" si="1"/>
        <v>242.84768889161782</v>
      </c>
      <c r="L10" s="5">
        <f t="shared" si="1"/>
        <v>448.02343688695572</v>
      </c>
      <c r="M10" s="5">
        <f t="shared" si="1"/>
        <v>337.74990747593108</v>
      </c>
      <c r="N10" s="5">
        <f t="shared" si="1"/>
        <v>710.84456810191637</v>
      </c>
      <c r="O10" s="5">
        <f t="shared" si="1"/>
        <v>354.72994422987938</v>
      </c>
      <c r="P10" s="5">
        <f t="shared" si="1"/>
        <v>153.0795000427338</v>
      </c>
      <c r="Q10" s="5">
        <f t="shared" si="1"/>
        <v>350</v>
      </c>
      <c r="R10" s="5">
        <f t="shared" si="1"/>
        <v>417.25292090050129</v>
      </c>
      <c r="S10" s="5">
        <f t="shared" si="1"/>
        <v>299.55522584881294</v>
      </c>
      <c r="T10" s="5">
        <f t="shared" si="1"/>
        <v>577.61001838033701</v>
      </c>
      <c r="U10" s="5">
        <f t="shared" si="1"/>
        <v>422.25584661434823</v>
      </c>
      <c r="V10" s="5">
        <f t="shared" si="1"/>
        <v>172.43356208503417</v>
      </c>
    </row>
    <row r="11" spans="1:22" x14ac:dyDescent="0.3">
      <c r="A11" s="8" t="s">
        <v>43</v>
      </c>
      <c r="B11">
        <v>0</v>
      </c>
      <c r="C11">
        <v>4</v>
      </c>
      <c r="D11">
        <v>10</v>
      </c>
      <c r="E11">
        <v>14</v>
      </c>
      <c r="F11">
        <v>18</v>
      </c>
      <c r="G11">
        <v>22</v>
      </c>
      <c r="H11">
        <v>26</v>
      </c>
      <c r="I11">
        <v>30</v>
      </c>
      <c r="J11">
        <v>32</v>
      </c>
      <c r="K11">
        <v>35</v>
      </c>
      <c r="L11">
        <v>39</v>
      </c>
      <c r="M11">
        <v>42</v>
      </c>
      <c r="N11">
        <v>46</v>
      </c>
      <c r="O11">
        <v>49</v>
      </c>
      <c r="P11">
        <v>53</v>
      </c>
      <c r="Q11">
        <v>56</v>
      </c>
      <c r="R11">
        <v>61</v>
      </c>
      <c r="S11">
        <v>66</v>
      </c>
      <c r="T11">
        <v>70</v>
      </c>
      <c r="U11">
        <v>74</v>
      </c>
      <c r="V11">
        <v>76</v>
      </c>
    </row>
    <row r="13" spans="1:22" x14ac:dyDescent="0.3">
      <c r="A13" s="23" t="s">
        <v>62</v>
      </c>
      <c r="B13" s="23"/>
      <c r="C13" s="23"/>
      <c r="D13" s="23"/>
      <c r="E13" s="23"/>
      <c r="F13" s="23"/>
      <c r="G13" s="23"/>
      <c r="H13" s="23"/>
    </row>
    <row r="15" spans="1:22" x14ac:dyDescent="0.3">
      <c r="B15" s="24" t="s">
        <v>71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22" x14ac:dyDescent="0.3">
      <c r="A16" s="8" t="s">
        <v>44</v>
      </c>
      <c r="B16" s="9">
        <v>41738</v>
      </c>
      <c r="C16" s="9">
        <v>41742</v>
      </c>
      <c r="D16" s="9">
        <v>41746</v>
      </c>
      <c r="E16" t="s">
        <v>45</v>
      </c>
      <c r="F16" s="9">
        <v>41754</v>
      </c>
      <c r="G16" s="9">
        <v>41756</v>
      </c>
      <c r="H16" s="9">
        <v>41759</v>
      </c>
      <c r="I16" s="9">
        <v>41764</v>
      </c>
      <c r="J16" s="9">
        <v>41768</v>
      </c>
      <c r="K16" s="9">
        <v>41772</v>
      </c>
      <c r="L16" s="9">
        <v>41775</v>
      </c>
      <c r="M16" s="9">
        <v>41778</v>
      </c>
      <c r="N16" s="9">
        <v>41782</v>
      </c>
      <c r="O16" s="9">
        <v>41785</v>
      </c>
      <c r="P16" s="9">
        <v>41787</v>
      </c>
    </row>
    <row r="17" spans="1:16" x14ac:dyDescent="0.3">
      <c r="A17" s="8" t="s">
        <v>39</v>
      </c>
      <c r="B17">
        <v>422</v>
      </c>
      <c r="C17">
        <f>191/0.5</f>
        <v>382</v>
      </c>
      <c r="D17">
        <v>786</v>
      </c>
      <c r="E17" s="5">
        <f>451/0.4</f>
        <v>1127.5</v>
      </c>
      <c r="F17" s="5">
        <f>513/0.4</f>
        <v>1282.5</v>
      </c>
      <c r="G17">
        <f>616/0.4</f>
        <v>1540</v>
      </c>
      <c r="H17">
        <f>381/0.2</f>
        <v>1905</v>
      </c>
      <c r="I17">
        <f>607/0.2</f>
        <v>3035</v>
      </c>
      <c r="J17">
        <f>430/0.1</f>
        <v>4300</v>
      </c>
      <c r="K17">
        <f>496/0.1</f>
        <v>4960</v>
      </c>
      <c r="L17">
        <f>594/0.1</f>
        <v>5940</v>
      </c>
      <c r="M17">
        <f>602/0.1</f>
        <v>6020</v>
      </c>
      <c r="N17">
        <f>602/0.1</f>
        <v>6020</v>
      </c>
      <c r="O17">
        <f>602/0.1</f>
        <v>6020</v>
      </c>
      <c r="P17">
        <f>592/0.1</f>
        <v>5920</v>
      </c>
    </row>
    <row r="18" spans="1:16" x14ac:dyDescent="0.3">
      <c r="A18" s="8" t="s">
        <v>40</v>
      </c>
      <c r="B18">
        <v>396</v>
      </c>
      <c r="C18">
        <f>193/0.5</f>
        <v>386</v>
      </c>
      <c r="D18">
        <v>612</v>
      </c>
      <c r="E18" s="5">
        <f>363/0.4</f>
        <v>907.5</v>
      </c>
      <c r="F18">
        <f>484/0.4</f>
        <v>1210</v>
      </c>
      <c r="G18" s="5">
        <f>629/0.4</f>
        <v>1572.5</v>
      </c>
      <c r="H18">
        <f>379/0.2</f>
        <v>1895</v>
      </c>
      <c r="I18">
        <f>582/0.2</f>
        <v>2910</v>
      </c>
      <c r="J18">
        <f>413/0.1</f>
        <v>4130</v>
      </c>
      <c r="K18">
        <f>504/0.1</f>
        <v>5040</v>
      </c>
      <c r="L18">
        <f>525/0.1</f>
        <v>5250</v>
      </c>
      <c r="M18">
        <f>609/0.1</f>
        <v>6090</v>
      </c>
      <c r="N18">
        <f>602/0.1</f>
        <v>6020</v>
      </c>
      <c r="O18">
        <f>555/0.1</f>
        <v>5550</v>
      </c>
      <c r="P18">
        <f>683/0.1</f>
        <v>6830</v>
      </c>
    </row>
    <row r="19" spans="1:16" x14ac:dyDescent="0.3">
      <c r="A19" s="8" t="s">
        <v>41</v>
      </c>
      <c r="B19">
        <v>396</v>
      </c>
      <c r="C19">
        <f>260/0.5</f>
        <v>520</v>
      </c>
      <c r="D19">
        <v>691</v>
      </c>
      <c r="E19" s="5">
        <f>427/0.4</f>
        <v>1067.5</v>
      </c>
      <c r="F19">
        <f>542/0.4</f>
        <v>1355</v>
      </c>
      <c r="G19" s="5">
        <f>591/0.4</f>
        <v>1477.5</v>
      </c>
      <c r="H19">
        <f>378/0.2</f>
        <v>1890</v>
      </c>
      <c r="I19">
        <f>573/0.2</f>
        <v>2865</v>
      </c>
      <c r="J19">
        <f>389/0.1</f>
        <v>3890</v>
      </c>
      <c r="K19">
        <f>509/0.1</f>
        <v>5090</v>
      </c>
      <c r="L19">
        <f>501/0.1</f>
        <v>5010</v>
      </c>
      <c r="M19">
        <f>614/0.1</f>
        <v>6140</v>
      </c>
      <c r="N19">
        <f>652/0.1</f>
        <v>6520</v>
      </c>
      <c r="O19">
        <f>589/0.1</f>
        <v>5890</v>
      </c>
      <c r="P19">
        <f>517/0.1</f>
        <v>5170</v>
      </c>
    </row>
    <row r="20" spans="1:16" x14ac:dyDescent="0.3">
      <c r="A20" s="8" t="s">
        <v>42</v>
      </c>
      <c r="B20" s="5">
        <f t="shared" ref="B20:P20" si="2">AVERAGE(B17:B19)</f>
        <v>404.66666666666669</v>
      </c>
      <c r="C20" s="5">
        <f t="shared" si="2"/>
        <v>429.33333333333331</v>
      </c>
      <c r="D20" s="5">
        <f t="shared" si="2"/>
        <v>696.33333333333337</v>
      </c>
      <c r="E20" s="5">
        <f t="shared" si="2"/>
        <v>1034.1666666666667</v>
      </c>
      <c r="F20" s="5">
        <f t="shared" si="2"/>
        <v>1282.5</v>
      </c>
      <c r="G20" s="5">
        <f t="shared" si="2"/>
        <v>1530</v>
      </c>
      <c r="H20" s="5">
        <f t="shared" si="2"/>
        <v>1896.6666666666667</v>
      </c>
      <c r="I20" s="5">
        <f t="shared" si="2"/>
        <v>2936.6666666666665</v>
      </c>
      <c r="J20" s="5">
        <f t="shared" si="2"/>
        <v>4106.666666666667</v>
      </c>
      <c r="K20" s="5">
        <f t="shared" si="2"/>
        <v>5030</v>
      </c>
      <c r="L20" s="5">
        <f t="shared" si="2"/>
        <v>5400</v>
      </c>
      <c r="M20" s="5">
        <f t="shared" si="2"/>
        <v>6083.333333333333</v>
      </c>
      <c r="N20" s="5">
        <f t="shared" si="2"/>
        <v>6186.666666666667</v>
      </c>
      <c r="O20" s="5">
        <f t="shared" si="2"/>
        <v>5820</v>
      </c>
      <c r="P20" s="5">
        <f t="shared" si="2"/>
        <v>5973.333333333333</v>
      </c>
    </row>
    <row r="21" spans="1:16" x14ac:dyDescent="0.3">
      <c r="A21" s="8" t="s">
        <v>4</v>
      </c>
      <c r="B21" s="5">
        <f t="shared" ref="B21:P21" si="3">_xlfn.STDEV.S(B17:B19)</f>
        <v>15.01110699893027</v>
      </c>
      <c r="C21" s="5">
        <f t="shared" si="3"/>
        <v>78.545103815153965</v>
      </c>
      <c r="D21" s="5">
        <f t="shared" si="3"/>
        <v>87.122519094281088</v>
      </c>
      <c r="E21" s="5">
        <f t="shared" si="3"/>
        <v>113.72481406154654</v>
      </c>
      <c r="F21" s="5">
        <f t="shared" si="3"/>
        <v>72.5</v>
      </c>
      <c r="G21" s="5">
        <f t="shared" si="3"/>
        <v>48.283019789569913</v>
      </c>
      <c r="H21" s="5">
        <f t="shared" si="3"/>
        <v>7.6376261582597333</v>
      </c>
      <c r="I21" s="5">
        <f t="shared" si="3"/>
        <v>88.081401744825413</v>
      </c>
      <c r="J21" s="5">
        <f t="shared" si="3"/>
        <v>205.99352740640501</v>
      </c>
      <c r="K21" s="5">
        <f t="shared" si="3"/>
        <v>65.574385243020004</v>
      </c>
      <c r="L21" s="5">
        <f t="shared" si="3"/>
        <v>482.80430818293246</v>
      </c>
      <c r="M21" s="5">
        <f t="shared" si="3"/>
        <v>60.277137733417078</v>
      </c>
      <c r="N21" s="5">
        <f t="shared" si="3"/>
        <v>288.67513459481285</v>
      </c>
      <c r="O21" s="5">
        <f t="shared" si="3"/>
        <v>242.69322199023193</v>
      </c>
      <c r="P21" s="5">
        <f t="shared" si="3"/>
        <v>831.2841471683048</v>
      </c>
    </row>
    <row r="22" spans="1:16" x14ac:dyDescent="0.3">
      <c r="A22" s="8" t="s">
        <v>43</v>
      </c>
      <c r="B22">
        <v>0</v>
      </c>
      <c r="C22">
        <v>4</v>
      </c>
      <c r="D22">
        <v>8</v>
      </c>
      <c r="E22">
        <v>13</v>
      </c>
      <c r="F22">
        <v>16</v>
      </c>
      <c r="G22">
        <v>18</v>
      </c>
      <c r="H22">
        <v>21</v>
      </c>
      <c r="I22">
        <v>26</v>
      </c>
      <c r="J22">
        <v>30</v>
      </c>
      <c r="K22">
        <v>34</v>
      </c>
      <c r="L22">
        <v>37</v>
      </c>
      <c r="M22">
        <v>40</v>
      </c>
      <c r="N22">
        <v>44</v>
      </c>
      <c r="O22">
        <v>47</v>
      </c>
      <c r="P22">
        <v>49</v>
      </c>
    </row>
    <row r="24" spans="1:16" x14ac:dyDescent="0.3">
      <c r="A24" s="23" t="s">
        <v>61</v>
      </c>
      <c r="B24" s="23"/>
      <c r="C24" s="23"/>
      <c r="D24" s="23"/>
      <c r="E24" s="23"/>
      <c r="F24" s="23"/>
      <c r="G24" s="23"/>
      <c r="H24" s="23"/>
    </row>
    <row r="26" spans="1:16" x14ac:dyDescent="0.3">
      <c r="A26" t="s">
        <v>38</v>
      </c>
      <c r="B26" s="24" t="s">
        <v>71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x14ac:dyDescent="0.3">
      <c r="A27" s="8" t="s">
        <v>12</v>
      </c>
      <c r="B27" s="9">
        <v>41743</v>
      </c>
      <c r="C27" s="9">
        <v>41746</v>
      </c>
      <c r="D27" s="9">
        <v>41748</v>
      </c>
      <c r="E27" s="9">
        <v>41751</v>
      </c>
      <c r="F27" s="9">
        <v>41754</v>
      </c>
      <c r="G27" s="9">
        <v>41757</v>
      </c>
      <c r="H27" s="9">
        <v>41759</v>
      </c>
      <c r="I27" s="9">
        <v>41761</v>
      </c>
      <c r="J27" s="9">
        <v>41764</v>
      </c>
      <c r="K27" s="9">
        <v>41767</v>
      </c>
      <c r="L27" s="9">
        <v>41770</v>
      </c>
      <c r="M27" s="9">
        <v>41773</v>
      </c>
      <c r="N27" s="9">
        <v>41744</v>
      </c>
    </row>
    <row r="28" spans="1:16" x14ac:dyDescent="0.3">
      <c r="A28" s="8" t="s">
        <v>39</v>
      </c>
      <c r="B28">
        <v>356</v>
      </c>
      <c r="C28">
        <f>340*2</f>
        <v>680</v>
      </c>
      <c r="D28">
        <f>405*2</f>
        <v>810</v>
      </c>
      <c r="E28">
        <f>436/0.2</f>
        <v>2180</v>
      </c>
      <c r="F28">
        <f>570/0.2</f>
        <v>2850</v>
      </c>
      <c r="G28">
        <f>501/0.1</f>
        <v>5010</v>
      </c>
      <c r="H28">
        <f>479/0.1</f>
        <v>4790</v>
      </c>
      <c r="I28">
        <f>599/0.1</f>
        <v>5990</v>
      </c>
      <c r="J28">
        <f>698/0.1</f>
        <v>6980</v>
      </c>
      <c r="K28">
        <f>746/0.1</f>
        <v>7460</v>
      </c>
      <c r="L28">
        <f>733/0.1</f>
        <v>7330</v>
      </c>
      <c r="M28">
        <f>768/0.1</f>
        <v>7680</v>
      </c>
      <c r="N28">
        <f>801/0.1</f>
        <v>8010</v>
      </c>
    </row>
    <row r="29" spans="1:16" x14ac:dyDescent="0.3">
      <c r="A29" s="8" t="s">
        <v>40</v>
      </c>
      <c r="B29">
        <v>364</v>
      </c>
      <c r="C29">
        <f>286*2</f>
        <v>572</v>
      </c>
      <c r="D29">
        <f>387*2</f>
        <v>774</v>
      </c>
      <c r="E29">
        <f>380/0.2</f>
        <v>1900</v>
      </c>
      <c r="F29">
        <f>528/0.2</f>
        <v>2640</v>
      </c>
      <c r="G29">
        <f>480/0.1</f>
        <v>4800</v>
      </c>
      <c r="H29">
        <f>486/0.1</f>
        <v>4860</v>
      </c>
      <c r="I29">
        <f>566/0.1</f>
        <v>5660</v>
      </c>
      <c r="J29">
        <f>677/0.1</f>
        <v>6770</v>
      </c>
      <c r="K29">
        <f>741/0.1</f>
        <v>7410</v>
      </c>
      <c r="L29">
        <f>774/0.1</f>
        <v>7740</v>
      </c>
      <c r="M29">
        <f>774/0.1</f>
        <v>7740</v>
      </c>
      <c r="N29">
        <f>777/0.1</f>
        <v>7770</v>
      </c>
    </row>
    <row r="30" spans="1:16" x14ac:dyDescent="0.3">
      <c r="A30" s="8" t="s">
        <v>41</v>
      </c>
      <c r="B30">
        <v>362</v>
      </c>
      <c r="C30">
        <f>285*2</f>
        <v>570</v>
      </c>
      <c r="D30">
        <f>404*2</f>
        <v>808</v>
      </c>
      <c r="E30">
        <f>379/0.2</f>
        <v>1895</v>
      </c>
      <c r="F30">
        <f>612/0.2</f>
        <v>3060</v>
      </c>
      <c r="G30">
        <f>445/0.1</f>
        <v>4450</v>
      </c>
      <c r="H30">
        <f>463/0.1</f>
        <v>4630</v>
      </c>
      <c r="I30">
        <f>634/0.1</f>
        <v>6340</v>
      </c>
      <c r="J30">
        <f>618/0.1</f>
        <v>6180</v>
      </c>
      <c r="K30">
        <f>743/0.1</f>
        <v>7430</v>
      </c>
      <c r="L30">
        <f>726/0.1</f>
        <v>7260</v>
      </c>
      <c r="M30">
        <f>781/0.1</f>
        <v>7810</v>
      </c>
      <c r="N30">
        <f>721/0.1</f>
        <v>7210</v>
      </c>
    </row>
    <row r="31" spans="1:16" x14ac:dyDescent="0.3">
      <c r="A31" s="8" t="s">
        <v>42</v>
      </c>
      <c r="B31" s="5">
        <f t="shared" ref="B31:N31" si="4">AVERAGE(B28:B30)</f>
        <v>360.66666666666669</v>
      </c>
      <c r="C31" s="5">
        <f t="shared" si="4"/>
        <v>607.33333333333337</v>
      </c>
      <c r="D31" s="5">
        <f t="shared" si="4"/>
        <v>797.33333333333337</v>
      </c>
      <c r="E31" s="5">
        <f t="shared" si="4"/>
        <v>1991.6666666666667</v>
      </c>
      <c r="F31" s="5">
        <f t="shared" si="4"/>
        <v>2850</v>
      </c>
      <c r="G31" s="5">
        <f t="shared" si="4"/>
        <v>4753.333333333333</v>
      </c>
      <c r="H31" s="5">
        <f t="shared" si="4"/>
        <v>4760</v>
      </c>
      <c r="I31" s="5">
        <f t="shared" si="4"/>
        <v>5996.666666666667</v>
      </c>
      <c r="J31" s="5">
        <f t="shared" si="4"/>
        <v>6643.333333333333</v>
      </c>
      <c r="K31" s="5">
        <f t="shared" si="4"/>
        <v>7433.333333333333</v>
      </c>
      <c r="L31" s="5">
        <f t="shared" si="4"/>
        <v>7443.333333333333</v>
      </c>
      <c r="M31" s="5">
        <f t="shared" si="4"/>
        <v>7743.333333333333</v>
      </c>
      <c r="N31" s="5">
        <f t="shared" si="4"/>
        <v>7663.333333333333</v>
      </c>
    </row>
    <row r="32" spans="1:16" x14ac:dyDescent="0.3">
      <c r="A32" s="8" t="s">
        <v>4</v>
      </c>
      <c r="B32" s="5">
        <f t="shared" ref="B32:N32" si="5">_xlfn.STDEV.S(B28:B30)</f>
        <v>4.1633319989322661</v>
      </c>
      <c r="C32" s="5">
        <f t="shared" si="5"/>
        <v>62.939124027375321</v>
      </c>
      <c r="D32" s="5">
        <f t="shared" si="5"/>
        <v>20.231987873991354</v>
      </c>
      <c r="E32" s="5">
        <f t="shared" si="5"/>
        <v>163.12060977489426</v>
      </c>
      <c r="F32" s="5">
        <f t="shared" si="5"/>
        <v>210</v>
      </c>
      <c r="G32" s="5">
        <f t="shared" si="5"/>
        <v>282.90163190291662</v>
      </c>
      <c r="H32" s="5">
        <f t="shared" si="5"/>
        <v>117.89826122551597</v>
      </c>
      <c r="I32" s="5">
        <f t="shared" si="5"/>
        <v>340.04901607464376</v>
      </c>
      <c r="J32" s="5">
        <f t="shared" si="5"/>
        <v>414.76901202155074</v>
      </c>
      <c r="K32" s="5">
        <f t="shared" si="5"/>
        <v>25.16611478423583</v>
      </c>
      <c r="L32" s="5">
        <f t="shared" si="5"/>
        <v>259.29391302792538</v>
      </c>
      <c r="M32" s="5">
        <f t="shared" si="5"/>
        <v>65.06407098647712</v>
      </c>
      <c r="N32" s="5">
        <f t="shared" si="5"/>
        <v>410.5281151557507</v>
      </c>
    </row>
    <row r="33" spans="1:14" x14ac:dyDescent="0.3">
      <c r="A33" s="8" t="s">
        <v>43</v>
      </c>
      <c r="B33">
        <v>0</v>
      </c>
      <c r="C33">
        <v>3</v>
      </c>
      <c r="D33">
        <v>5</v>
      </c>
      <c r="E33">
        <v>8</v>
      </c>
      <c r="F33">
        <v>11</v>
      </c>
      <c r="G33">
        <v>14</v>
      </c>
      <c r="H33">
        <v>16</v>
      </c>
      <c r="I33">
        <v>18</v>
      </c>
      <c r="J33">
        <v>21</v>
      </c>
      <c r="K33">
        <v>24</v>
      </c>
      <c r="L33">
        <v>27</v>
      </c>
      <c r="M33">
        <v>30</v>
      </c>
      <c r="N33">
        <v>31</v>
      </c>
    </row>
    <row r="35" spans="1:14" x14ac:dyDescent="0.3">
      <c r="A35" s="23" t="s">
        <v>63</v>
      </c>
      <c r="B35" s="23"/>
      <c r="C35" s="23"/>
      <c r="D35" s="23"/>
      <c r="E35" s="23"/>
      <c r="F35" s="23"/>
      <c r="G35" s="23"/>
      <c r="H35" s="23"/>
    </row>
    <row r="37" spans="1:14" x14ac:dyDescent="0.3">
      <c r="A37" s="10" t="s">
        <v>38</v>
      </c>
      <c r="B37" s="24" t="s">
        <v>71</v>
      </c>
      <c r="C37" s="24"/>
      <c r="D37" s="24"/>
      <c r="E37" s="24"/>
      <c r="F37" s="24"/>
      <c r="G37" s="24"/>
      <c r="H37" s="24"/>
      <c r="I37" s="24"/>
      <c r="J37" s="24"/>
    </row>
    <row r="38" spans="1:14" x14ac:dyDescent="0.3">
      <c r="A38" s="8" t="s">
        <v>12</v>
      </c>
      <c r="B38" s="9">
        <v>41715</v>
      </c>
      <c r="C38" s="9">
        <v>41717</v>
      </c>
      <c r="D38" s="9">
        <v>41719</v>
      </c>
      <c r="E38" s="9">
        <v>41722</v>
      </c>
      <c r="F38" s="9">
        <v>41724</v>
      </c>
      <c r="G38" s="9">
        <v>41726</v>
      </c>
      <c r="H38" s="9">
        <v>41728</v>
      </c>
      <c r="I38" s="9">
        <v>41730</v>
      </c>
      <c r="J38" s="9">
        <v>41732</v>
      </c>
    </row>
    <row r="39" spans="1:14" x14ac:dyDescent="0.3">
      <c r="A39" s="8" t="s">
        <v>39</v>
      </c>
      <c r="B39">
        <v>452</v>
      </c>
      <c r="C39" s="5">
        <f>355/0.4</f>
        <v>887.5</v>
      </c>
      <c r="D39" s="5">
        <f>511/0.4</f>
        <v>1277.5</v>
      </c>
      <c r="E39">
        <f>616/0.2</f>
        <v>3080</v>
      </c>
      <c r="F39">
        <f>571/0.1</f>
        <v>5710</v>
      </c>
      <c r="G39">
        <f>766/0.1</f>
        <v>7660</v>
      </c>
      <c r="H39">
        <f>419/0.05</f>
        <v>8380</v>
      </c>
      <c r="I39">
        <f>722/0.1</f>
        <v>7220</v>
      </c>
      <c r="J39">
        <f>1055/0.1</f>
        <v>10550</v>
      </c>
    </row>
    <row r="40" spans="1:14" x14ac:dyDescent="0.3">
      <c r="A40" s="8" t="s">
        <v>40</v>
      </c>
      <c r="B40">
        <v>466</v>
      </c>
      <c r="C40" s="5">
        <f>387/0.4</f>
        <v>967.5</v>
      </c>
      <c r="D40">
        <f>560/0.4</f>
        <v>1400</v>
      </c>
      <c r="E40">
        <f>746/0.2</f>
        <v>3730</v>
      </c>
      <c r="F40">
        <f>580/0.1</f>
        <v>5800</v>
      </c>
      <c r="G40">
        <f>774/0.1</f>
        <v>7740</v>
      </c>
      <c r="H40">
        <f>389/0.05</f>
        <v>7780</v>
      </c>
      <c r="I40">
        <f>821/0.1</f>
        <v>8210</v>
      </c>
      <c r="J40">
        <f>923/0.1</f>
        <v>9230</v>
      </c>
    </row>
    <row r="41" spans="1:14" x14ac:dyDescent="0.3">
      <c r="A41" s="8" t="s">
        <v>41</v>
      </c>
      <c r="B41">
        <v>337</v>
      </c>
      <c r="C41" s="5">
        <f>255/0.4</f>
        <v>637.5</v>
      </c>
      <c r="D41" s="5">
        <f>475/0.4</f>
        <v>1187.5</v>
      </c>
      <c r="E41">
        <f>529/0.2</f>
        <v>2645</v>
      </c>
      <c r="F41">
        <f>467/0.1</f>
        <v>4670</v>
      </c>
      <c r="G41">
        <f>732/0.1</f>
        <v>7320</v>
      </c>
      <c r="H41">
        <f>373/0.05</f>
        <v>7460</v>
      </c>
      <c r="I41">
        <f>827/0.1</f>
        <v>8270</v>
      </c>
      <c r="J41">
        <f>971/0.1</f>
        <v>9710</v>
      </c>
    </row>
    <row r="42" spans="1:14" x14ac:dyDescent="0.3">
      <c r="A42" s="8" t="s">
        <v>42</v>
      </c>
      <c r="B42" s="5">
        <f>AVERAGE(B39:B41)</f>
        <v>418.33333333333331</v>
      </c>
      <c r="C42" s="5">
        <f t="shared" ref="C42:J42" si="6">AVERAGE(C39:C41)</f>
        <v>830.83333333333337</v>
      </c>
      <c r="D42" s="5">
        <f t="shared" si="6"/>
        <v>1288.3333333333333</v>
      </c>
      <c r="E42" s="5">
        <f t="shared" si="6"/>
        <v>3151.6666666666665</v>
      </c>
      <c r="F42" s="5">
        <f t="shared" si="6"/>
        <v>5393.333333333333</v>
      </c>
      <c r="G42" s="5">
        <f t="shared" si="6"/>
        <v>7573.333333333333</v>
      </c>
      <c r="H42" s="5">
        <f t="shared" si="6"/>
        <v>7873.333333333333</v>
      </c>
      <c r="I42" s="5">
        <f t="shared" si="6"/>
        <v>7900</v>
      </c>
      <c r="J42" s="5">
        <f t="shared" si="6"/>
        <v>9830</v>
      </c>
    </row>
    <row r="43" spans="1:14" x14ac:dyDescent="0.3">
      <c r="A43" s="8" t="s">
        <v>4</v>
      </c>
      <c r="B43" s="5">
        <f>_xlfn.STDEV.S(B39:B41)</f>
        <v>70.783708106691577</v>
      </c>
      <c r="C43" s="5">
        <f t="shared" ref="C43:J43" si="7">_xlfn.STDEV.S(C39:C41)</f>
        <v>172.14335111567152</v>
      </c>
      <c r="D43" s="5">
        <f t="shared" si="7"/>
        <v>106.66341140866128</v>
      </c>
      <c r="E43" s="5">
        <f t="shared" si="7"/>
        <v>546.03876541261604</v>
      </c>
      <c r="F43" s="5">
        <f t="shared" si="7"/>
        <v>628.03927690339026</v>
      </c>
      <c r="G43" s="5">
        <f t="shared" si="7"/>
        <v>223.00971578236974</v>
      </c>
      <c r="H43" s="5">
        <f t="shared" si="7"/>
        <v>467.04746368365318</v>
      </c>
      <c r="I43" s="5">
        <f t="shared" si="7"/>
        <v>589.66091951222268</v>
      </c>
      <c r="J43" s="5">
        <f t="shared" si="7"/>
        <v>668.1317235396026</v>
      </c>
    </row>
    <row r="44" spans="1:14" x14ac:dyDescent="0.3">
      <c r="A44" s="8" t="s">
        <v>43</v>
      </c>
      <c r="B44">
        <v>0</v>
      </c>
      <c r="C44">
        <v>2</v>
      </c>
      <c r="D44">
        <v>4</v>
      </c>
      <c r="E44">
        <v>7</v>
      </c>
      <c r="F44">
        <v>9</v>
      </c>
      <c r="G44">
        <v>11</v>
      </c>
      <c r="H44">
        <v>13</v>
      </c>
      <c r="I44">
        <v>15</v>
      </c>
      <c r="J44">
        <v>17</v>
      </c>
    </row>
    <row r="46" spans="1:14" x14ac:dyDescent="0.3">
      <c r="A46" s="23" t="s">
        <v>64</v>
      </c>
      <c r="B46" s="23"/>
      <c r="C46" s="23"/>
      <c r="D46" s="23"/>
      <c r="E46" s="23"/>
      <c r="F46" s="23"/>
      <c r="G46" s="23"/>
      <c r="H46" s="23"/>
    </row>
    <row r="48" spans="1:14" x14ac:dyDescent="0.3">
      <c r="A48" t="s">
        <v>38</v>
      </c>
      <c r="B48" s="24" t="s">
        <v>71</v>
      </c>
      <c r="C48" s="24"/>
      <c r="D48" s="24"/>
      <c r="E48" s="24"/>
      <c r="F48" s="24"/>
      <c r="G48" s="24"/>
      <c r="H48" s="24"/>
      <c r="I48" s="24"/>
      <c r="J48" s="24"/>
      <c r="K48" s="24"/>
    </row>
    <row r="49" spans="1:11" x14ac:dyDescent="0.3">
      <c r="A49" s="8" t="s">
        <v>12</v>
      </c>
      <c r="B49" s="9">
        <v>41726</v>
      </c>
      <c r="C49" s="9">
        <v>41728</v>
      </c>
      <c r="D49" s="9">
        <v>41730</v>
      </c>
      <c r="E49" s="9">
        <v>41731</v>
      </c>
      <c r="F49" s="9">
        <v>41733</v>
      </c>
      <c r="G49" s="9">
        <v>41735</v>
      </c>
      <c r="H49" s="9">
        <v>41737</v>
      </c>
      <c r="I49" s="9">
        <v>41739</v>
      </c>
      <c r="J49" s="9">
        <v>41742</v>
      </c>
      <c r="K49" s="9">
        <v>41744</v>
      </c>
    </row>
    <row r="50" spans="1:11" x14ac:dyDescent="0.3">
      <c r="A50" s="8" t="s">
        <v>39</v>
      </c>
      <c r="B50">
        <v>444</v>
      </c>
      <c r="C50" s="5">
        <f>283/0.4</f>
        <v>707.5</v>
      </c>
      <c r="D50" s="5">
        <f>527/0.4</f>
        <v>1317.5</v>
      </c>
      <c r="E50">
        <f>664/0.4</f>
        <v>1660</v>
      </c>
      <c r="F50">
        <f>541/0.2</f>
        <v>2705</v>
      </c>
      <c r="G50" s="5">
        <f>785/0.15</f>
        <v>5233.3333333333339</v>
      </c>
      <c r="H50">
        <f>659/0.1</f>
        <v>6590</v>
      </c>
      <c r="I50">
        <f>723/0.1</f>
        <v>7230</v>
      </c>
      <c r="J50">
        <f>742/0.1</f>
        <v>7420</v>
      </c>
      <c r="K50">
        <f>718/0.1</f>
        <v>7180</v>
      </c>
    </row>
    <row r="51" spans="1:11" x14ac:dyDescent="0.3">
      <c r="A51" s="8" t="s">
        <v>40</v>
      </c>
      <c r="B51">
        <v>502</v>
      </c>
      <c r="C51" s="5">
        <f>306/0.4</f>
        <v>765</v>
      </c>
      <c r="D51" s="5">
        <f>545/0.4</f>
        <v>1362.5</v>
      </c>
      <c r="E51" s="5">
        <f>739/0.4</f>
        <v>1847.5</v>
      </c>
      <c r="F51">
        <f>552/0.2</f>
        <v>2760</v>
      </c>
      <c r="G51" s="5">
        <f>766/0.15</f>
        <v>5106.666666666667</v>
      </c>
      <c r="H51">
        <f>675/0.1</f>
        <v>6750</v>
      </c>
      <c r="I51">
        <f>763/0.1</f>
        <v>7630</v>
      </c>
      <c r="J51">
        <f>780/0.1</f>
        <v>7800</v>
      </c>
      <c r="K51">
        <f>803/0.1</f>
        <v>8030</v>
      </c>
    </row>
    <row r="52" spans="1:11" x14ac:dyDescent="0.3">
      <c r="A52" s="8" t="s">
        <v>41</v>
      </c>
      <c r="B52">
        <v>514</v>
      </c>
      <c r="C52" s="5">
        <f>309/0.4</f>
        <v>772.5</v>
      </c>
      <c r="D52" s="5">
        <f>527/0.4</f>
        <v>1317.5</v>
      </c>
      <c r="E52">
        <f>644/0.4</f>
        <v>1610</v>
      </c>
      <c r="F52">
        <f>594/0.2</f>
        <v>2970</v>
      </c>
      <c r="G52" s="5">
        <f>742/0.15</f>
        <v>4946.666666666667</v>
      </c>
      <c r="H52">
        <f>674/0.1</f>
        <v>6740</v>
      </c>
      <c r="I52">
        <f>783/0.1</f>
        <v>7830</v>
      </c>
      <c r="J52">
        <f>709/0.1</f>
        <v>7090</v>
      </c>
      <c r="K52">
        <f>892/0.1</f>
        <v>8920</v>
      </c>
    </row>
    <row r="53" spans="1:11" x14ac:dyDescent="0.3">
      <c r="A53" s="8" t="s">
        <v>42</v>
      </c>
      <c r="B53" s="5">
        <f t="shared" ref="B53:K53" si="8">AVERAGE(B50:B52)</f>
        <v>486.66666666666669</v>
      </c>
      <c r="C53" s="5">
        <f t="shared" si="8"/>
        <v>748.33333333333337</v>
      </c>
      <c r="D53" s="5">
        <f t="shared" si="8"/>
        <v>1332.5</v>
      </c>
      <c r="E53" s="5">
        <f t="shared" si="8"/>
        <v>1705.8333333333333</v>
      </c>
      <c r="F53" s="5">
        <f t="shared" si="8"/>
        <v>2811.6666666666665</v>
      </c>
      <c r="G53" s="5">
        <f t="shared" si="8"/>
        <v>5095.5555555555557</v>
      </c>
      <c r="H53" s="5">
        <f t="shared" si="8"/>
        <v>6693.333333333333</v>
      </c>
      <c r="I53" s="5">
        <f t="shared" si="8"/>
        <v>7563.333333333333</v>
      </c>
      <c r="J53" s="5">
        <f t="shared" si="8"/>
        <v>7436.666666666667</v>
      </c>
      <c r="K53" s="5">
        <f t="shared" si="8"/>
        <v>8043.333333333333</v>
      </c>
    </row>
    <row r="54" spans="1:11" x14ac:dyDescent="0.3">
      <c r="A54" s="8" t="s">
        <v>4</v>
      </c>
      <c r="B54" s="5">
        <f t="shared" ref="B54:K54" si="9">_xlfn.STDEV.S(B50:B52)</f>
        <v>37.434387043643888</v>
      </c>
      <c r="C54" s="5">
        <f t="shared" si="9"/>
        <v>35.560980488919782</v>
      </c>
      <c r="D54" s="5">
        <f t="shared" si="9"/>
        <v>25.98076211353316</v>
      </c>
      <c r="E54" s="5">
        <f t="shared" si="9"/>
        <v>125.20816001097266</v>
      </c>
      <c r="F54" s="5">
        <f t="shared" si="9"/>
        <v>139.85111130532118</v>
      </c>
      <c r="G54" s="5">
        <f t="shared" si="9"/>
        <v>143.65596763461335</v>
      </c>
      <c r="H54" s="5">
        <f t="shared" si="9"/>
        <v>89.628864398325021</v>
      </c>
      <c r="I54" s="5">
        <f t="shared" si="9"/>
        <v>305.50504633038935</v>
      </c>
      <c r="J54" s="5">
        <f t="shared" si="9"/>
        <v>355.2933060632206</v>
      </c>
      <c r="K54" s="5">
        <f t="shared" si="9"/>
        <v>870.07662497812987</v>
      </c>
    </row>
    <row r="55" spans="1:11" x14ac:dyDescent="0.3">
      <c r="A55" s="8" t="s">
        <v>43</v>
      </c>
      <c r="B55">
        <v>0</v>
      </c>
      <c r="C55">
        <v>2</v>
      </c>
      <c r="D55">
        <v>4</v>
      </c>
      <c r="E55">
        <v>5</v>
      </c>
      <c r="F55">
        <v>7</v>
      </c>
      <c r="G55">
        <v>9</v>
      </c>
      <c r="H55">
        <v>11</v>
      </c>
      <c r="I55">
        <v>13</v>
      </c>
      <c r="J55">
        <v>16</v>
      </c>
      <c r="K55">
        <v>18</v>
      </c>
    </row>
    <row r="57" spans="1:11" x14ac:dyDescent="0.3">
      <c r="A57" s="23" t="s">
        <v>65</v>
      </c>
      <c r="B57" s="23"/>
      <c r="C57" s="23"/>
      <c r="D57" s="23"/>
      <c r="E57" s="23"/>
      <c r="F57" s="23"/>
      <c r="G57" s="23"/>
      <c r="H57" s="23"/>
    </row>
    <row r="59" spans="1:11" x14ac:dyDescent="0.3">
      <c r="A59" s="8" t="s">
        <v>38</v>
      </c>
      <c r="B59" s="24" t="s">
        <v>71</v>
      </c>
      <c r="C59" s="24"/>
      <c r="D59" s="24"/>
      <c r="E59" s="24"/>
      <c r="F59" s="24"/>
    </row>
    <row r="60" spans="1:11" x14ac:dyDescent="0.3">
      <c r="A60" s="8" t="s">
        <v>12</v>
      </c>
      <c r="B60" s="9">
        <v>41746</v>
      </c>
      <c r="C60" s="9">
        <v>41751</v>
      </c>
      <c r="D60" s="9">
        <v>41754</v>
      </c>
      <c r="E60" s="9">
        <v>41757</v>
      </c>
      <c r="F60" s="9">
        <v>41761</v>
      </c>
    </row>
    <row r="61" spans="1:11" x14ac:dyDescent="0.3">
      <c r="A61" s="8" t="s">
        <v>39</v>
      </c>
      <c r="B61">
        <v>443</v>
      </c>
      <c r="C61">
        <f>82*2</f>
        <v>164</v>
      </c>
      <c r="D61">
        <f>65</f>
        <v>65</v>
      </c>
      <c r="E61">
        <v>31</v>
      </c>
      <c r="F61">
        <v>7</v>
      </c>
    </row>
    <row r="62" spans="1:11" x14ac:dyDescent="0.3">
      <c r="A62" s="8" t="s">
        <v>40</v>
      </c>
      <c r="B62">
        <v>489</v>
      </c>
      <c r="C62">
        <f>74*2</f>
        <v>148</v>
      </c>
      <c r="D62">
        <v>55</v>
      </c>
      <c r="E62">
        <v>34</v>
      </c>
      <c r="F62">
        <v>7</v>
      </c>
    </row>
    <row r="63" spans="1:11" x14ac:dyDescent="0.3">
      <c r="A63" s="8" t="s">
        <v>41</v>
      </c>
      <c r="B63">
        <v>438</v>
      </c>
      <c r="C63">
        <f>100*2</f>
        <v>200</v>
      </c>
      <c r="D63">
        <v>82</v>
      </c>
      <c r="E63">
        <v>42</v>
      </c>
      <c r="F63">
        <v>7</v>
      </c>
    </row>
    <row r="64" spans="1:11" x14ac:dyDescent="0.3">
      <c r="A64" s="8" t="s">
        <v>42</v>
      </c>
      <c r="B64" s="5">
        <f>AVERAGE(B61:B63)</f>
        <v>456.66666666666669</v>
      </c>
      <c r="C64" s="5">
        <f>AVERAGE(C61:C63)</f>
        <v>170.66666666666666</v>
      </c>
      <c r="D64" s="5">
        <f>AVERAGE(D61:D63)</f>
        <v>67.333333333333329</v>
      </c>
      <c r="E64" s="5">
        <f>AVERAGE(E61:E63)</f>
        <v>35.666666666666664</v>
      </c>
      <c r="F64" s="5">
        <f>AVERAGE(F61:F63)</f>
        <v>7</v>
      </c>
    </row>
    <row r="65" spans="1:14" x14ac:dyDescent="0.3">
      <c r="A65" s="8" t="s">
        <v>4</v>
      </c>
      <c r="B65" s="5">
        <f>_xlfn.STDEV.S(B61:B63)</f>
        <v>28.112867753634337</v>
      </c>
      <c r="C65" s="5">
        <f>_xlfn.STDEV.S(C61:C63)</f>
        <v>26.633312473917616</v>
      </c>
      <c r="D65" s="5">
        <f>_xlfn.STDEV.S(D61:D63)</f>
        <v>13.650396819628835</v>
      </c>
      <c r="E65" s="5">
        <f>_xlfn.STDEV.S(E61:E63)</f>
        <v>5.6862407030773205</v>
      </c>
      <c r="F65" s="5">
        <f>_xlfn.STDEV.S(F61:F63)</f>
        <v>0</v>
      </c>
    </row>
    <row r="66" spans="1:14" x14ac:dyDescent="0.3">
      <c r="A66" s="8" t="s">
        <v>43</v>
      </c>
      <c r="B66">
        <v>0</v>
      </c>
      <c r="C66">
        <v>5</v>
      </c>
      <c r="D66">
        <v>8</v>
      </c>
      <c r="E66">
        <v>11</v>
      </c>
      <c r="F66">
        <v>15</v>
      </c>
    </row>
    <row r="68" spans="1:14" x14ac:dyDescent="0.3">
      <c r="A68" s="23" t="s">
        <v>66</v>
      </c>
      <c r="B68" s="23"/>
      <c r="C68" s="23"/>
      <c r="D68" s="23"/>
      <c r="E68" s="23"/>
      <c r="F68" s="23"/>
      <c r="G68" s="23"/>
      <c r="H68" s="23"/>
    </row>
    <row r="70" spans="1:14" x14ac:dyDescent="0.3">
      <c r="A70" t="s">
        <v>38</v>
      </c>
      <c r="B70" s="24" t="s">
        <v>71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1:14" x14ac:dyDescent="0.3">
      <c r="A71" s="8" t="s">
        <v>46</v>
      </c>
      <c r="B71" s="9">
        <v>41709</v>
      </c>
      <c r="C71" s="9">
        <v>41711</v>
      </c>
      <c r="D71" s="9">
        <v>41715</v>
      </c>
      <c r="E71" s="9">
        <v>41717</v>
      </c>
      <c r="F71" s="9">
        <v>41719</v>
      </c>
      <c r="G71" s="9">
        <v>41722</v>
      </c>
      <c r="H71" s="9">
        <v>41724</v>
      </c>
      <c r="I71" s="9">
        <v>41726</v>
      </c>
      <c r="J71" s="9">
        <v>41729</v>
      </c>
      <c r="K71" s="9">
        <v>41731</v>
      </c>
      <c r="L71" s="9">
        <v>41733</v>
      </c>
      <c r="M71" s="9">
        <v>41735</v>
      </c>
      <c r="N71" s="9">
        <v>41737</v>
      </c>
    </row>
    <row r="72" spans="1:14" x14ac:dyDescent="0.3">
      <c r="A72" s="8" t="s">
        <v>39</v>
      </c>
      <c r="B72">
        <v>409</v>
      </c>
      <c r="C72">
        <f>222*2</f>
        <v>444</v>
      </c>
      <c r="D72" s="5">
        <f>475/0.4</f>
        <v>1187.5</v>
      </c>
      <c r="E72">
        <f>340/0.2</f>
        <v>1700</v>
      </c>
      <c r="F72">
        <f>380/0.2</f>
        <v>1900</v>
      </c>
      <c r="G72">
        <f>683/0.2</f>
        <v>3415</v>
      </c>
      <c r="H72">
        <f>484/0.1</f>
        <v>4840</v>
      </c>
      <c r="I72">
        <f>620/0.1</f>
        <v>6200</v>
      </c>
      <c r="J72">
        <f>707/0.1</f>
        <v>7070</v>
      </c>
      <c r="K72">
        <f>744/0.1</f>
        <v>7440</v>
      </c>
      <c r="L72">
        <f>682/0.1</f>
        <v>6820</v>
      </c>
      <c r="M72">
        <f>704/0.1</f>
        <v>7040</v>
      </c>
      <c r="N72">
        <f>738/0.1</f>
        <v>7380</v>
      </c>
    </row>
    <row r="73" spans="1:14" x14ac:dyDescent="0.3">
      <c r="A73" s="8" t="s">
        <v>40</v>
      </c>
      <c r="B73">
        <v>347</v>
      </c>
      <c r="C73">
        <f>234*2</f>
        <v>468</v>
      </c>
      <c r="D73">
        <f>478/0.4</f>
        <v>1195</v>
      </c>
      <c r="E73">
        <f>333/0.2</f>
        <v>1665</v>
      </c>
      <c r="F73">
        <f>399/0.2</f>
        <v>1995</v>
      </c>
      <c r="G73">
        <f>755/0.2</f>
        <v>3775</v>
      </c>
      <c r="H73">
        <f>485/0.1</f>
        <v>4850</v>
      </c>
      <c r="I73">
        <f>656/0.1</f>
        <v>6560</v>
      </c>
      <c r="J73">
        <f>653/0.1</f>
        <v>6530</v>
      </c>
      <c r="K73">
        <f>721/0.1</f>
        <v>7210</v>
      </c>
      <c r="L73">
        <f>685/0.1</f>
        <v>6850</v>
      </c>
      <c r="M73">
        <f>760/0.1</f>
        <v>7600</v>
      </c>
      <c r="N73">
        <f>804/0.1</f>
        <v>8040</v>
      </c>
    </row>
    <row r="74" spans="1:14" x14ac:dyDescent="0.3">
      <c r="A74" s="8" t="s">
        <v>41</v>
      </c>
      <c r="B74">
        <v>369</v>
      </c>
      <c r="C74">
        <f>241*2</f>
        <v>482</v>
      </c>
      <c r="D74">
        <f>430/0.4</f>
        <v>1075</v>
      </c>
      <c r="E74">
        <f>314/0.2</f>
        <v>1570</v>
      </c>
      <c r="F74">
        <f>422/0.2</f>
        <v>2110</v>
      </c>
      <c r="G74">
        <f>620/0.2</f>
        <v>3100</v>
      </c>
      <c r="H74">
        <f>499/0.1</f>
        <v>4990</v>
      </c>
      <c r="I74">
        <f>614/0.1</f>
        <v>6140</v>
      </c>
      <c r="J74">
        <f>688/0.1</f>
        <v>6880</v>
      </c>
      <c r="K74">
        <f>773/0.1</f>
        <v>7730</v>
      </c>
      <c r="L74">
        <f>650/0.1</f>
        <v>6500</v>
      </c>
      <c r="M74">
        <f>690/0.1</f>
        <v>6900</v>
      </c>
      <c r="N74">
        <f>745/0.1</f>
        <v>7450</v>
      </c>
    </row>
    <row r="75" spans="1:14" x14ac:dyDescent="0.3">
      <c r="A75" s="8" t="s">
        <v>42</v>
      </c>
      <c r="B75">
        <f>AVERAGE(B72:B74)</f>
        <v>375</v>
      </c>
      <c r="C75" s="5">
        <f t="shared" ref="C75:N75" si="10">AVERAGE(C72:C74)</f>
        <v>464.66666666666669</v>
      </c>
      <c r="D75" s="5">
        <f t="shared" si="10"/>
        <v>1152.5</v>
      </c>
      <c r="E75" s="5">
        <f t="shared" si="10"/>
        <v>1645</v>
      </c>
      <c r="F75" s="5">
        <f t="shared" si="10"/>
        <v>2001.6666666666667</v>
      </c>
      <c r="G75" s="5">
        <f t="shared" si="10"/>
        <v>3430</v>
      </c>
      <c r="H75" s="5">
        <f t="shared" si="10"/>
        <v>4893.333333333333</v>
      </c>
      <c r="I75" s="5">
        <f t="shared" si="10"/>
        <v>6300</v>
      </c>
      <c r="J75" s="5">
        <f t="shared" si="10"/>
        <v>6826.666666666667</v>
      </c>
      <c r="K75" s="5">
        <f t="shared" si="10"/>
        <v>7460</v>
      </c>
      <c r="L75" s="5">
        <f t="shared" si="10"/>
        <v>6723.333333333333</v>
      </c>
      <c r="M75" s="5">
        <f t="shared" si="10"/>
        <v>7180</v>
      </c>
      <c r="N75" s="5">
        <f t="shared" si="10"/>
        <v>7623.333333333333</v>
      </c>
    </row>
    <row r="76" spans="1:14" x14ac:dyDescent="0.3">
      <c r="A76" s="8" t="s">
        <v>4</v>
      </c>
      <c r="B76" s="5">
        <f>_xlfn.STDEV.S(B72:B74)</f>
        <v>31.432467291003423</v>
      </c>
      <c r="C76" s="5">
        <f t="shared" ref="C76:N76" si="11">_xlfn.STDEV.S(C72:C74)</f>
        <v>19.218047073866099</v>
      </c>
      <c r="D76" s="5">
        <f t="shared" si="11"/>
        <v>67.221648298743759</v>
      </c>
      <c r="E76" s="5">
        <f t="shared" si="11"/>
        <v>67.268120235368556</v>
      </c>
      <c r="F76" s="5">
        <f t="shared" si="11"/>
        <v>105.1586103623157</v>
      </c>
      <c r="G76" s="5">
        <f t="shared" si="11"/>
        <v>337.74990747593108</v>
      </c>
      <c r="H76" s="5">
        <f t="shared" si="11"/>
        <v>83.864970836060834</v>
      </c>
      <c r="I76" s="5">
        <f t="shared" si="11"/>
        <v>227.15633383201094</v>
      </c>
      <c r="J76" s="5">
        <f t="shared" si="11"/>
        <v>273.92213005402346</v>
      </c>
      <c r="K76" s="5">
        <f t="shared" si="11"/>
        <v>260.57628441590765</v>
      </c>
      <c r="L76" s="5">
        <f t="shared" si="11"/>
        <v>193.99312702601949</v>
      </c>
      <c r="M76" s="5">
        <f t="shared" si="11"/>
        <v>370.4051835490427</v>
      </c>
      <c r="N76" s="5">
        <f t="shared" si="11"/>
        <v>362.53735439721697</v>
      </c>
    </row>
    <row r="77" spans="1:14" x14ac:dyDescent="0.3">
      <c r="A77" s="8" t="s">
        <v>43</v>
      </c>
      <c r="B77">
        <v>0</v>
      </c>
      <c r="C77">
        <v>2</v>
      </c>
      <c r="D77">
        <v>6</v>
      </c>
      <c r="E77">
        <v>8</v>
      </c>
      <c r="F77">
        <v>10</v>
      </c>
      <c r="G77">
        <v>13</v>
      </c>
      <c r="H77">
        <v>15</v>
      </c>
      <c r="I77">
        <v>17</v>
      </c>
      <c r="J77">
        <v>20</v>
      </c>
      <c r="K77">
        <v>22</v>
      </c>
      <c r="L77">
        <v>24</v>
      </c>
      <c r="M77">
        <v>26</v>
      </c>
      <c r="N77">
        <v>28</v>
      </c>
    </row>
    <row r="79" spans="1:14" x14ac:dyDescent="0.3">
      <c r="A79" s="23" t="s">
        <v>67</v>
      </c>
      <c r="B79" s="23"/>
      <c r="C79" s="23"/>
      <c r="D79" s="23"/>
      <c r="E79" s="23"/>
      <c r="F79" s="23"/>
      <c r="G79" s="23"/>
      <c r="H79" s="23"/>
    </row>
    <row r="81" spans="1:14" x14ac:dyDescent="0.3">
      <c r="A81" s="8" t="s">
        <v>38</v>
      </c>
      <c r="B81" s="24" t="s">
        <v>71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</row>
    <row r="82" spans="1:14" x14ac:dyDescent="0.3">
      <c r="A82" s="8" t="s">
        <v>8</v>
      </c>
      <c r="B82" s="9">
        <v>41745</v>
      </c>
      <c r="C82" s="9">
        <v>41748</v>
      </c>
      <c r="D82" s="9">
        <v>41751</v>
      </c>
      <c r="E82" s="9">
        <v>41753</v>
      </c>
      <c r="F82" s="9">
        <v>41756</v>
      </c>
      <c r="G82" s="9">
        <v>41759</v>
      </c>
      <c r="H82" s="9">
        <v>41761</v>
      </c>
      <c r="I82" s="9">
        <v>41764</v>
      </c>
      <c r="J82" s="9">
        <v>41767</v>
      </c>
      <c r="K82" s="9">
        <v>41770</v>
      </c>
      <c r="L82" s="9">
        <v>41773</v>
      </c>
      <c r="M82" s="9">
        <v>41775</v>
      </c>
      <c r="N82" s="9">
        <v>41778</v>
      </c>
    </row>
    <row r="83" spans="1:14" x14ac:dyDescent="0.3">
      <c r="A83" s="8" t="s">
        <v>39</v>
      </c>
      <c r="B83">
        <v>557</v>
      </c>
      <c r="C83">
        <f>344*2</f>
        <v>688</v>
      </c>
      <c r="D83">
        <f>436/0.4</f>
        <v>1090</v>
      </c>
      <c r="E83">
        <f>478/0.4</f>
        <v>1195</v>
      </c>
      <c r="F83">
        <f>406/0.2</f>
        <v>2030</v>
      </c>
      <c r="G83">
        <f>476/0.2</f>
        <v>2380</v>
      </c>
      <c r="H83">
        <f>351/0.1</f>
        <v>3510</v>
      </c>
      <c r="I83">
        <f>415/0.1</f>
        <v>4150</v>
      </c>
      <c r="J83">
        <f>497/0.1</f>
        <v>4970</v>
      </c>
      <c r="K83">
        <f>513/0.1</f>
        <v>5130</v>
      </c>
      <c r="L83">
        <f>526/0.1</f>
        <v>5260</v>
      </c>
      <c r="M83">
        <f>557/0.1</f>
        <v>5570</v>
      </c>
      <c r="N83">
        <f>521/0.1</f>
        <v>5210</v>
      </c>
    </row>
    <row r="84" spans="1:14" x14ac:dyDescent="0.3">
      <c r="A84" s="8" t="s">
        <v>40</v>
      </c>
      <c r="B84">
        <v>583</v>
      </c>
      <c r="C84">
        <f>408*2</f>
        <v>816</v>
      </c>
      <c r="D84" s="5">
        <f>503/0.4</f>
        <v>1257.5</v>
      </c>
      <c r="E84" s="5">
        <f>633/0.4</f>
        <v>1582.5</v>
      </c>
      <c r="F84">
        <f>356/0.2</f>
        <v>1780</v>
      </c>
      <c r="G84">
        <f>441/0.2</f>
        <v>2205</v>
      </c>
      <c r="H84">
        <f>325/0.1</f>
        <v>3250</v>
      </c>
      <c r="I84">
        <f>403/0.1</f>
        <v>4030</v>
      </c>
      <c r="J84">
        <f>493/0.1</f>
        <v>4930</v>
      </c>
      <c r="K84">
        <f>493/0.1</f>
        <v>4930</v>
      </c>
      <c r="L84">
        <f>559/0.1</f>
        <v>5590</v>
      </c>
      <c r="M84">
        <f>580/0.1</f>
        <v>5800</v>
      </c>
      <c r="N84">
        <f>551/0.1</f>
        <v>5510</v>
      </c>
    </row>
    <row r="85" spans="1:14" x14ac:dyDescent="0.3">
      <c r="A85" s="8" t="s">
        <v>41</v>
      </c>
      <c r="B85">
        <v>540</v>
      </c>
      <c r="C85">
        <f>400*2</f>
        <v>800</v>
      </c>
      <c r="D85" s="5">
        <f>487/0.4</f>
        <v>1217.5</v>
      </c>
      <c r="E85">
        <f>578/0.4</f>
        <v>1445</v>
      </c>
      <c r="F85">
        <f>377/0.2</f>
        <v>1885</v>
      </c>
      <c r="G85">
        <f>467/0.2</f>
        <v>2335</v>
      </c>
      <c r="H85">
        <f>348/0.1</f>
        <v>3480</v>
      </c>
      <c r="I85">
        <f>381/0.1</f>
        <v>3810</v>
      </c>
      <c r="J85">
        <f>471/0.1</f>
        <v>4710</v>
      </c>
      <c r="K85">
        <f>502/0.1</f>
        <v>5020</v>
      </c>
      <c r="L85">
        <f>545/0.1</f>
        <v>5450</v>
      </c>
      <c r="M85">
        <f>523/0.1</f>
        <v>5230</v>
      </c>
      <c r="N85">
        <f>536/0.1</f>
        <v>5360</v>
      </c>
    </row>
    <row r="86" spans="1:14" x14ac:dyDescent="0.3">
      <c r="A86" s="8" t="s">
        <v>42</v>
      </c>
      <c r="B86">
        <f t="shared" ref="B86:M86" si="12">AVERAGE(B83:B85)</f>
        <v>560</v>
      </c>
      <c r="C86">
        <f t="shared" si="12"/>
        <v>768</v>
      </c>
      <c r="D86" s="5">
        <f t="shared" si="12"/>
        <v>1188.3333333333333</v>
      </c>
      <c r="E86" s="5">
        <f t="shared" si="12"/>
        <v>1407.5</v>
      </c>
      <c r="F86" s="5">
        <f t="shared" si="12"/>
        <v>1898.3333333333333</v>
      </c>
      <c r="G86" s="5">
        <f t="shared" si="12"/>
        <v>2306.6666666666665</v>
      </c>
      <c r="H86" s="5">
        <f t="shared" si="12"/>
        <v>3413.3333333333335</v>
      </c>
      <c r="I86" s="5">
        <f t="shared" si="12"/>
        <v>3996.6666666666665</v>
      </c>
      <c r="J86" s="5">
        <f t="shared" si="12"/>
        <v>4870</v>
      </c>
      <c r="K86" s="5">
        <f t="shared" si="12"/>
        <v>5026.666666666667</v>
      </c>
      <c r="L86" s="5">
        <f t="shared" si="12"/>
        <v>5433.333333333333</v>
      </c>
      <c r="M86" s="5">
        <f t="shared" si="12"/>
        <v>5533.333333333333</v>
      </c>
      <c r="N86" s="5">
        <f>AVERAGE(N83:N85)</f>
        <v>5360</v>
      </c>
    </row>
    <row r="87" spans="1:14" x14ac:dyDescent="0.3">
      <c r="A87" s="8" t="s">
        <v>4</v>
      </c>
      <c r="B87" s="5">
        <f t="shared" ref="B87:N87" si="13">_xlfn.STDEV.S(B83:B85)</f>
        <v>21.656407827707714</v>
      </c>
      <c r="C87" s="5">
        <f t="shared" si="13"/>
        <v>69.742383096650784</v>
      </c>
      <c r="D87" s="5">
        <f t="shared" si="13"/>
        <v>87.476187235917706</v>
      </c>
      <c r="E87" s="5">
        <f t="shared" si="13"/>
        <v>196.45292056877139</v>
      </c>
      <c r="F87" s="5">
        <f t="shared" si="13"/>
        <v>125.53220038433699</v>
      </c>
      <c r="G87" s="5">
        <f t="shared" si="13"/>
        <v>90.875372534770563</v>
      </c>
      <c r="H87" s="5">
        <f t="shared" si="13"/>
        <v>142.24392195567913</v>
      </c>
      <c r="I87" s="5">
        <f t="shared" si="13"/>
        <v>172.43356208503417</v>
      </c>
      <c r="J87" s="5">
        <f t="shared" si="13"/>
        <v>140</v>
      </c>
      <c r="K87" s="5">
        <f t="shared" si="13"/>
        <v>100.16652800877813</v>
      </c>
      <c r="L87" s="5">
        <f t="shared" si="13"/>
        <v>165.63010998406457</v>
      </c>
      <c r="M87" s="5">
        <f t="shared" si="13"/>
        <v>286.76354952004158</v>
      </c>
      <c r="N87" s="5">
        <f t="shared" si="13"/>
        <v>150</v>
      </c>
    </row>
    <row r="88" spans="1:14" x14ac:dyDescent="0.3">
      <c r="A88" s="8" t="s">
        <v>43</v>
      </c>
      <c r="B88">
        <v>0</v>
      </c>
      <c r="C88">
        <v>3</v>
      </c>
      <c r="D88">
        <v>6</v>
      </c>
      <c r="E88">
        <v>8</v>
      </c>
      <c r="F88">
        <v>11</v>
      </c>
      <c r="G88">
        <v>14</v>
      </c>
      <c r="H88">
        <v>16</v>
      </c>
      <c r="I88">
        <v>19</v>
      </c>
      <c r="J88">
        <v>21</v>
      </c>
      <c r="K88">
        <v>24</v>
      </c>
      <c r="L88">
        <v>27</v>
      </c>
      <c r="M88">
        <v>29</v>
      </c>
      <c r="N88">
        <v>32</v>
      </c>
    </row>
    <row r="90" spans="1:14" x14ac:dyDescent="0.3">
      <c r="A90" s="23" t="s">
        <v>68</v>
      </c>
      <c r="B90" s="23"/>
      <c r="C90" s="23"/>
      <c r="D90" s="23"/>
      <c r="E90" s="23"/>
      <c r="F90" s="23"/>
      <c r="G90" s="23"/>
      <c r="H90" s="23"/>
    </row>
    <row r="92" spans="1:14" x14ac:dyDescent="0.3">
      <c r="A92" s="8" t="s">
        <v>38</v>
      </c>
      <c r="B92" s="24" t="s">
        <v>71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</row>
    <row r="93" spans="1:14" x14ac:dyDescent="0.3">
      <c r="A93" s="8" t="s">
        <v>6</v>
      </c>
      <c r="B93" s="9">
        <v>41745</v>
      </c>
      <c r="C93" s="9">
        <v>41748</v>
      </c>
      <c r="D93" s="9">
        <v>41751</v>
      </c>
      <c r="E93" s="9">
        <v>41752</v>
      </c>
      <c r="F93" s="9">
        <v>41754</v>
      </c>
      <c r="G93" s="9">
        <v>41757</v>
      </c>
      <c r="H93" s="9">
        <v>41759</v>
      </c>
      <c r="I93" s="9">
        <v>41761</v>
      </c>
      <c r="J93" s="9">
        <v>41764</v>
      </c>
      <c r="K93" s="9">
        <v>41767</v>
      </c>
      <c r="L93" s="9">
        <v>41770</v>
      </c>
      <c r="M93" s="9">
        <v>41773</v>
      </c>
    </row>
    <row r="94" spans="1:14" x14ac:dyDescent="0.3">
      <c r="A94" s="8" t="s">
        <v>39</v>
      </c>
      <c r="B94">
        <v>526</v>
      </c>
      <c r="C94">
        <f>427*2</f>
        <v>854</v>
      </c>
      <c r="D94">
        <f>642/0.4</f>
        <v>1605</v>
      </c>
      <c r="E94" s="5">
        <f>701/0.4</f>
        <v>1752.5</v>
      </c>
      <c r="F94">
        <f>376/0.2</f>
        <v>1880</v>
      </c>
      <c r="G94">
        <f>611/0.2</f>
        <v>3055</v>
      </c>
      <c r="H94">
        <f>409/0.1</f>
        <v>4090</v>
      </c>
      <c r="I94">
        <f>502/0.1</f>
        <v>5020</v>
      </c>
      <c r="J94">
        <f>608/0.1</f>
        <v>6080</v>
      </c>
      <c r="K94">
        <f>649/0.1</f>
        <v>6490</v>
      </c>
      <c r="L94">
        <f>621/0.1</f>
        <v>6210</v>
      </c>
      <c r="M94">
        <f>613/0.1</f>
        <v>6130</v>
      </c>
    </row>
    <row r="95" spans="1:14" x14ac:dyDescent="0.3">
      <c r="A95" s="8" t="s">
        <v>40</v>
      </c>
      <c r="B95">
        <v>521</v>
      </c>
      <c r="C95">
        <f>466*2</f>
        <v>932</v>
      </c>
      <c r="D95" s="5">
        <f>609/0.4</f>
        <v>1522.5</v>
      </c>
      <c r="E95">
        <f>690/0.4</f>
        <v>1725</v>
      </c>
      <c r="F95">
        <f>459/0.2</f>
        <v>2295</v>
      </c>
      <c r="G95">
        <f>664/0.2</f>
        <v>3320</v>
      </c>
      <c r="H95">
        <f>450/0.1</f>
        <v>4500</v>
      </c>
      <c r="I95">
        <f>533/0.1</f>
        <v>5330</v>
      </c>
      <c r="J95">
        <f>603/0.1</f>
        <v>6030</v>
      </c>
      <c r="K95">
        <f>624/0.1</f>
        <v>6240</v>
      </c>
      <c r="L95">
        <f>646/0.1</f>
        <v>6460</v>
      </c>
      <c r="M95">
        <f>605/0.1</f>
        <v>6050</v>
      </c>
    </row>
    <row r="96" spans="1:14" x14ac:dyDescent="0.3">
      <c r="A96" s="8" t="s">
        <v>41</v>
      </c>
      <c r="B96">
        <v>471</v>
      </c>
      <c r="C96">
        <f>391*2</f>
        <v>782</v>
      </c>
      <c r="D96">
        <f>588/0.4</f>
        <v>1470</v>
      </c>
      <c r="E96">
        <f>718/0.4</f>
        <v>1795</v>
      </c>
      <c r="F96">
        <f>438/0.2</f>
        <v>2190</v>
      </c>
      <c r="G96">
        <f>674/0.2</f>
        <v>3370</v>
      </c>
      <c r="H96">
        <f>446/0.1</f>
        <v>4460</v>
      </c>
      <c r="I96">
        <f>558/0.1</f>
        <v>5580</v>
      </c>
      <c r="J96">
        <f>685/0.1</f>
        <v>6850</v>
      </c>
      <c r="K96">
        <f>647/0.1</f>
        <v>6470</v>
      </c>
      <c r="L96">
        <f>635/0.1</f>
        <v>6350</v>
      </c>
      <c r="M96">
        <f>660/0.1</f>
        <v>6600</v>
      </c>
    </row>
    <row r="97" spans="1:19" x14ac:dyDescent="0.3">
      <c r="A97" s="8" t="s">
        <v>42</v>
      </c>
      <c r="B97">
        <f t="shared" ref="B97:M97" si="14">AVERAGE(B94:B96)</f>
        <v>506</v>
      </c>
      <c r="C97">
        <f t="shared" si="14"/>
        <v>856</v>
      </c>
      <c r="D97" s="5">
        <f t="shared" si="14"/>
        <v>1532.5</v>
      </c>
      <c r="E97" s="5">
        <f t="shared" si="14"/>
        <v>1757.5</v>
      </c>
      <c r="F97" s="5">
        <f t="shared" si="14"/>
        <v>2121.6666666666665</v>
      </c>
      <c r="G97" s="5">
        <f t="shared" si="14"/>
        <v>3248.3333333333335</v>
      </c>
      <c r="H97" s="5">
        <f t="shared" si="14"/>
        <v>4350</v>
      </c>
      <c r="I97" s="5">
        <f t="shared" si="14"/>
        <v>5310</v>
      </c>
      <c r="J97" s="5">
        <f t="shared" si="14"/>
        <v>6320</v>
      </c>
      <c r="K97" s="5">
        <f t="shared" si="14"/>
        <v>6400</v>
      </c>
      <c r="L97" s="5">
        <f t="shared" si="14"/>
        <v>6340</v>
      </c>
      <c r="M97" s="5">
        <f t="shared" si="14"/>
        <v>6260</v>
      </c>
    </row>
    <row r="98" spans="1:19" x14ac:dyDescent="0.3">
      <c r="A98" s="8" t="s">
        <v>4</v>
      </c>
      <c r="B98" s="5">
        <f t="shared" ref="B98:M98" si="15">_xlfn.STDEV.S(B94:B96)</f>
        <v>30.413812651491099</v>
      </c>
      <c r="C98" s="5">
        <f t="shared" si="15"/>
        <v>75.019997334044206</v>
      </c>
      <c r="D98" s="5">
        <f t="shared" si="15"/>
        <v>68.053287944080992</v>
      </c>
      <c r="E98" s="5">
        <f t="shared" si="15"/>
        <v>35.266839949164712</v>
      </c>
      <c r="F98" s="5">
        <f t="shared" si="15"/>
        <v>215.77380131362872</v>
      </c>
      <c r="G98" s="5">
        <f t="shared" si="15"/>
        <v>169.28772351630622</v>
      </c>
      <c r="H98" s="5">
        <f t="shared" si="15"/>
        <v>226.05309110914629</v>
      </c>
      <c r="I98" s="5">
        <f t="shared" si="15"/>
        <v>280.53520278211073</v>
      </c>
      <c r="J98" s="5">
        <f t="shared" si="15"/>
        <v>459.67379738244813</v>
      </c>
      <c r="K98" s="5">
        <f t="shared" si="15"/>
        <v>138.92443989449805</v>
      </c>
      <c r="L98" s="5">
        <f t="shared" si="15"/>
        <v>125.29964086141668</v>
      </c>
      <c r="M98" s="5">
        <f t="shared" si="15"/>
        <v>297.15315916207254</v>
      </c>
    </row>
    <row r="99" spans="1:19" x14ac:dyDescent="0.3">
      <c r="A99" s="8" t="s">
        <v>43</v>
      </c>
      <c r="B99">
        <v>0</v>
      </c>
      <c r="C99">
        <v>3</v>
      </c>
      <c r="D99">
        <v>6</v>
      </c>
      <c r="E99">
        <v>7</v>
      </c>
      <c r="F99">
        <v>9</v>
      </c>
      <c r="G99">
        <v>12</v>
      </c>
      <c r="H99">
        <v>14</v>
      </c>
      <c r="I99">
        <v>16</v>
      </c>
      <c r="J99">
        <v>19</v>
      </c>
      <c r="K99">
        <v>21</v>
      </c>
      <c r="L99">
        <v>24</v>
      </c>
      <c r="M99">
        <v>27</v>
      </c>
    </row>
    <row r="101" spans="1:19" x14ac:dyDescent="0.3">
      <c r="A101" s="23" t="s">
        <v>69</v>
      </c>
      <c r="B101" s="23"/>
      <c r="C101" s="23"/>
      <c r="D101" s="23"/>
      <c r="E101" s="23"/>
      <c r="F101" s="23"/>
      <c r="G101" s="23"/>
      <c r="H101" s="23"/>
    </row>
    <row r="103" spans="1:19" x14ac:dyDescent="0.3">
      <c r="A103" s="8" t="s">
        <v>38</v>
      </c>
      <c r="B103" s="24" t="s">
        <v>71</v>
      </c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</row>
    <row r="104" spans="1:19" x14ac:dyDescent="0.3">
      <c r="A104" s="8" t="s">
        <v>5</v>
      </c>
      <c r="B104" s="9">
        <v>41745</v>
      </c>
      <c r="C104" s="9">
        <v>41748</v>
      </c>
      <c r="D104" s="9">
        <v>41751</v>
      </c>
      <c r="E104" s="9">
        <v>41754</v>
      </c>
      <c r="F104" s="9">
        <v>41757</v>
      </c>
      <c r="G104" s="9">
        <v>41761</v>
      </c>
      <c r="H104" s="9">
        <v>41764</v>
      </c>
      <c r="I104" s="9">
        <v>41767</v>
      </c>
      <c r="J104" s="9">
        <v>41770</v>
      </c>
      <c r="K104" s="9">
        <v>41771</v>
      </c>
      <c r="L104" s="9">
        <v>41774</v>
      </c>
      <c r="M104" s="9">
        <v>41778</v>
      </c>
      <c r="N104" s="9">
        <v>41781</v>
      </c>
      <c r="O104" s="9">
        <v>41785</v>
      </c>
      <c r="P104" s="9">
        <v>41789</v>
      </c>
      <c r="Q104" s="9">
        <v>41794</v>
      </c>
      <c r="R104" s="9">
        <v>41798</v>
      </c>
      <c r="S104" s="9">
        <v>41800</v>
      </c>
    </row>
    <row r="105" spans="1:19" x14ac:dyDescent="0.3">
      <c r="A105" s="8" t="s">
        <v>39</v>
      </c>
      <c r="B105">
        <v>461</v>
      </c>
      <c r="C105">
        <f>222*2</f>
        <v>444</v>
      </c>
      <c r="D105">
        <f>280/0.4</f>
        <v>700</v>
      </c>
      <c r="E105">
        <f>308/0.4</f>
        <v>770</v>
      </c>
      <c r="F105">
        <f>364/0.4</f>
        <v>910</v>
      </c>
      <c r="G105" s="5">
        <f>415/0.4</f>
        <v>1037.5</v>
      </c>
      <c r="H105">
        <f>462/0.4</f>
        <v>1155</v>
      </c>
      <c r="I105" s="5">
        <f>511/0.4</f>
        <v>1277.5</v>
      </c>
      <c r="J105" s="5">
        <f>719/0.4</f>
        <v>1797.5</v>
      </c>
      <c r="K105" s="5">
        <f>597/0.4</f>
        <v>1492.5</v>
      </c>
      <c r="L105">
        <f>472/0.2</f>
        <v>2360</v>
      </c>
      <c r="M105">
        <f>349/0.1</f>
        <v>3490</v>
      </c>
      <c r="N105">
        <f>390/0.1</f>
        <v>3900</v>
      </c>
      <c r="O105">
        <f>436/0.1</f>
        <v>4360</v>
      </c>
      <c r="P105">
        <f>527/0.1</f>
        <v>5270</v>
      </c>
      <c r="Q105">
        <f>506/0.1</f>
        <v>5060</v>
      </c>
      <c r="R105">
        <f>507/0.1</f>
        <v>5070</v>
      </c>
      <c r="S105">
        <f>528/0.1</f>
        <v>5280</v>
      </c>
    </row>
    <row r="106" spans="1:19" x14ac:dyDescent="0.3">
      <c r="A106" s="8" t="s">
        <v>40</v>
      </c>
      <c r="B106">
        <v>529</v>
      </c>
      <c r="C106">
        <f>258*2</f>
        <v>516</v>
      </c>
      <c r="D106" s="5">
        <f>273/0.4</f>
        <v>682.5</v>
      </c>
      <c r="E106">
        <f>318/0.4</f>
        <v>795</v>
      </c>
      <c r="F106" s="5">
        <f>339/0.4</f>
        <v>847.5</v>
      </c>
      <c r="G106">
        <f>376/0.4</f>
        <v>940</v>
      </c>
      <c r="H106">
        <f>486/0.4</f>
        <v>1215</v>
      </c>
      <c r="I106">
        <f>526/0.4</f>
        <v>1315</v>
      </c>
      <c r="J106">
        <f>762/0.4</f>
        <v>1905</v>
      </c>
      <c r="K106" s="5">
        <f>697/0.4</f>
        <v>1742.5</v>
      </c>
      <c r="L106">
        <f>491/0.2</f>
        <v>2455</v>
      </c>
      <c r="M106">
        <f>371/0.1</f>
        <v>3710</v>
      </c>
      <c r="N106">
        <f>406/0.1</f>
        <v>4060</v>
      </c>
      <c r="O106">
        <f>468/0.1</f>
        <v>4680</v>
      </c>
      <c r="P106">
        <f>542/0.1</f>
        <v>5420</v>
      </c>
      <c r="Q106">
        <f>549/0.1</f>
        <v>5490</v>
      </c>
      <c r="R106">
        <f>497/0.1</f>
        <v>4970</v>
      </c>
      <c r="S106">
        <f>563/0.1</f>
        <v>5630</v>
      </c>
    </row>
    <row r="107" spans="1:19" x14ac:dyDescent="0.3">
      <c r="A107" s="8" t="s">
        <v>41</v>
      </c>
      <c r="B107">
        <v>487</v>
      </c>
      <c r="C107">
        <f>268*2</f>
        <v>536</v>
      </c>
      <c r="D107">
        <f>286/0.4</f>
        <v>715</v>
      </c>
      <c r="E107" s="5">
        <f>285/0.4</f>
        <v>712.5</v>
      </c>
      <c r="F107">
        <f>304/0.4</f>
        <v>760</v>
      </c>
      <c r="G107" s="5">
        <f>395/0.4</f>
        <v>987.5</v>
      </c>
      <c r="H107">
        <f>470/0.4</f>
        <v>1175</v>
      </c>
      <c r="I107" s="5">
        <f>585/0.4</f>
        <v>1462.5</v>
      </c>
      <c r="J107">
        <f>640/0.4</f>
        <v>1600</v>
      </c>
      <c r="K107">
        <f>772/0.4</f>
        <v>1930</v>
      </c>
      <c r="L107">
        <f>471/0.2</f>
        <v>2355</v>
      </c>
      <c r="M107">
        <f>343/0.1</f>
        <v>3430</v>
      </c>
      <c r="N107">
        <f>415/0.1</f>
        <v>4150</v>
      </c>
      <c r="O107">
        <f>452/0.1</f>
        <v>4520</v>
      </c>
      <c r="P107">
        <f>505/0.1</f>
        <v>5050</v>
      </c>
      <c r="Q107">
        <f>550/0.1</f>
        <v>5500</v>
      </c>
      <c r="R107">
        <f>530/0.1</f>
        <v>5300</v>
      </c>
      <c r="S107">
        <f>522/0.1</f>
        <v>5220</v>
      </c>
    </row>
    <row r="108" spans="1:19" x14ac:dyDescent="0.3">
      <c r="A108" s="8" t="s">
        <v>42</v>
      </c>
      <c r="B108" s="5">
        <f t="shared" ref="B108:S108" si="16">AVERAGE(B105:B107)</f>
        <v>492.33333333333331</v>
      </c>
      <c r="C108" s="5">
        <f t="shared" si="16"/>
        <v>498.66666666666669</v>
      </c>
      <c r="D108" s="5">
        <f t="shared" si="16"/>
        <v>699.16666666666663</v>
      </c>
      <c r="E108" s="5">
        <f t="shared" si="16"/>
        <v>759.16666666666663</v>
      </c>
      <c r="F108" s="5">
        <f t="shared" si="16"/>
        <v>839.16666666666663</v>
      </c>
      <c r="G108" s="5">
        <f t="shared" si="16"/>
        <v>988.33333333333337</v>
      </c>
      <c r="H108" s="5">
        <f t="shared" si="16"/>
        <v>1181.6666666666667</v>
      </c>
      <c r="I108" s="5">
        <f t="shared" si="16"/>
        <v>1351.6666666666667</v>
      </c>
      <c r="J108" s="5">
        <f t="shared" si="16"/>
        <v>1767.5</v>
      </c>
      <c r="K108" s="5">
        <f t="shared" si="16"/>
        <v>1721.6666666666667</v>
      </c>
      <c r="L108" s="5">
        <f t="shared" si="16"/>
        <v>2390</v>
      </c>
      <c r="M108" s="5">
        <f t="shared" si="16"/>
        <v>3543.3333333333335</v>
      </c>
      <c r="N108" s="5">
        <f t="shared" si="16"/>
        <v>4036.6666666666665</v>
      </c>
      <c r="O108" s="5">
        <f t="shared" si="16"/>
        <v>4520</v>
      </c>
      <c r="P108" s="5">
        <f t="shared" si="16"/>
        <v>5246.666666666667</v>
      </c>
      <c r="Q108" s="5">
        <f t="shared" si="16"/>
        <v>5350</v>
      </c>
      <c r="R108" s="5">
        <f t="shared" si="16"/>
        <v>5113.333333333333</v>
      </c>
      <c r="S108" s="5">
        <f t="shared" si="16"/>
        <v>5376.666666666667</v>
      </c>
    </row>
    <row r="109" spans="1:19" x14ac:dyDescent="0.3">
      <c r="A109" s="8" t="s">
        <v>4</v>
      </c>
      <c r="B109" s="5">
        <f t="shared" ref="B109:S109" si="17">_xlfn.STDEV.S(B105:B107)</f>
        <v>34.312291286554057</v>
      </c>
      <c r="C109" s="5">
        <f t="shared" si="17"/>
        <v>48.387326164330815</v>
      </c>
      <c r="D109" s="5">
        <f t="shared" si="17"/>
        <v>16.26601774661928</v>
      </c>
      <c r="E109" s="5">
        <f t="shared" si="17"/>
        <v>42.303467154990187</v>
      </c>
      <c r="F109" s="5">
        <f t="shared" si="17"/>
        <v>75.346422166771362</v>
      </c>
      <c r="G109" s="5">
        <f t="shared" si="17"/>
        <v>48.755341587700251</v>
      </c>
      <c r="H109" s="5">
        <f t="shared" si="17"/>
        <v>30.550504633038933</v>
      </c>
      <c r="I109" s="5">
        <f t="shared" si="17"/>
        <v>97.79868778942452</v>
      </c>
      <c r="J109" s="5">
        <f t="shared" si="17"/>
        <v>154.69728504404981</v>
      </c>
      <c r="K109" s="5">
        <f t="shared" si="17"/>
        <v>219.4927865177647</v>
      </c>
      <c r="L109" s="5">
        <f t="shared" si="17"/>
        <v>56.347138347923227</v>
      </c>
      <c r="M109" s="5">
        <f t="shared" si="17"/>
        <v>147.42229591663988</v>
      </c>
      <c r="N109" s="5">
        <f t="shared" si="17"/>
        <v>126.62279942148386</v>
      </c>
      <c r="O109" s="5">
        <f t="shared" si="17"/>
        <v>160</v>
      </c>
      <c r="P109" s="5">
        <f t="shared" si="17"/>
        <v>186.10033136277144</v>
      </c>
      <c r="Q109" s="5">
        <f t="shared" si="17"/>
        <v>251.19713374160941</v>
      </c>
      <c r="R109" s="5">
        <f t="shared" si="17"/>
        <v>169.21386861996072</v>
      </c>
      <c r="S109" s="5">
        <f t="shared" si="17"/>
        <v>221.43471573656498</v>
      </c>
    </row>
    <row r="110" spans="1:19" x14ac:dyDescent="0.3">
      <c r="A110" s="8" t="s">
        <v>43</v>
      </c>
      <c r="B110">
        <v>0</v>
      </c>
      <c r="C110">
        <v>3</v>
      </c>
      <c r="D110">
        <v>6</v>
      </c>
      <c r="E110">
        <v>9</v>
      </c>
      <c r="F110">
        <v>12</v>
      </c>
      <c r="G110">
        <v>16</v>
      </c>
      <c r="H110">
        <v>19</v>
      </c>
      <c r="I110">
        <v>22</v>
      </c>
      <c r="J110">
        <v>25</v>
      </c>
      <c r="K110">
        <v>26</v>
      </c>
      <c r="L110">
        <v>29</v>
      </c>
      <c r="M110">
        <v>33</v>
      </c>
      <c r="N110">
        <v>36</v>
      </c>
      <c r="O110">
        <v>40</v>
      </c>
      <c r="P110">
        <v>44</v>
      </c>
      <c r="Q110">
        <v>49</v>
      </c>
      <c r="R110">
        <v>53</v>
      </c>
      <c r="S110">
        <v>55</v>
      </c>
    </row>
    <row r="112" spans="1:19" x14ac:dyDescent="0.3">
      <c r="A112" s="23" t="s">
        <v>70</v>
      </c>
      <c r="B112" s="23"/>
      <c r="C112" s="23"/>
      <c r="D112" s="23"/>
      <c r="E112" s="23"/>
      <c r="F112" s="23"/>
      <c r="G112" s="23"/>
      <c r="H112" s="23"/>
    </row>
    <row r="114" spans="1:16" x14ac:dyDescent="0.3">
      <c r="A114" s="8" t="s">
        <v>38</v>
      </c>
      <c r="B114" s="24" t="s">
        <v>71</v>
      </c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</row>
    <row r="115" spans="1:16" x14ac:dyDescent="0.3">
      <c r="A115" s="8" t="s">
        <v>1</v>
      </c>
      <c r="B115" s="9">
        <v>41745</v>
      </c>
      <c r="C115" s="9">
        <v>41748</v>
      </c>
      <c r="D115" s="9">
        <v>41751</v>
      </c>
      <c r="E115" s="9">
        <v>41754</v>
      </c>
      <c r="F115" s="9">
        <v>41757</v>
      </c>
      <c r="G115" s="9">
        <v>41759</v>
      </c>
      <c r="H115" s="9">
        <v>41761</v>
      </c>
      <c r="I115" s="9">
        <v>41763</v>
      </c>
      <c r="J115" s="9">
        <v>41766</v>
      </c>
      <c r="K115" s="9">
        <v>41770</v>
      </c>
      <c r="L115" s="9">
        <v>41773</v>
      </c>
      <c r="M115" s="9">
        <v>41775</v>
      </c>
      <c r="N115" s="9">
        <v>41778</v>
      </c>
      <c r="O115" s="9">
        <v>41781</v>
      </c>
      <c r="P115" s="9">
        <v>41785</v>
      </c>
    </row>
    <row r="116" spans="1:16" x14ac:dyDescent="0.3">
      <c r="A116" s="8" t="s">
        <v>39</v>
      </c>
      <c r="B116">
        <v>525</v>
      </c>
      <c r="C116">
        <f>271*2</f>
        <v>542</v>
      </c>
      <c r="D116" s="5">
        <f>275/0.4</f>
        <v>687.5</v>
      </c>
      <c r="E116" s="5">
        <f>313/0.4</f>
        <v>782.5</v>
      </c>
      <c r="F116">
        <f>476/0.4</f>
        <v>1190</v>
      </c>
      <c r="G116">
        <f>464/0.4</f>
        <v>1160</v>
      </c>
      <c r="H116">
        <f>546/0.4</f>
        <v>1365</v>
      </c>
      <c r="I116" s="5">
        <f>755/0.4</f>
        <v>1887.5</v>
      </c>
      <c r="J116">
        <f>509/0.2</f>
        <v>2545</v>
      </c>
      <c r="K116">
        <f>768/0.2</f>
        <v>3840</v>
      </c>
      <c r="L116">
        <f>517/0.1</f>
        <v>5170</v>
      </c>
      <c r="M116">
        <f>639/0.1</f>
        <v>6390</v>
      </c>
      <c r="N116">
        <f>611/0.1</f>
        <v>6110</v>
      </c>
      <c r="O116">
        <f>662/0.1</f>
        <v>6620</v>
      </c>
      <c r="P116">
        <f>592/0.1</f>
        <v>5920</v>
      </c>
    </row>
    <row r="117" spans="1:16" x14ac:dyDescent="0.3">
      <c r="A117" s="8" t="s">
        <v>40</v>
      </c>
      <c r="B117">
        <v>494</v>
      </c>
      <c r="C117">
        <f>261*2</f>
        <v>522</v>
      </c>
      <c r="D117" s="5">
        <f>271/0.4</f>
        <v>677.5</v>
      </c>
      <c r="E117" s="5">
        <f>337/0.4</f>
        <v>842.5</v>
      </c>
      <c r="F117">
        <f>404/0.4</f>
        <v>1010</v>
      </c>
      <c r="G117">
        <f>482/0.4</f>
        <v>1205</v>
      </c>
      <c r="H117" s="5">
        <f>595/0.4</f>
        <v>1487.5</v>
      </c>
      <c r="I117" s="5">
        <f>731/0.4</f>
        <v>1827.5</v>
      </c>
      <c r="J117">
        <f>576/0.2</f>
        <v>2880</v>
      </c>
      <c r="K117">
        <f>738/0.2</f>
        <v>3690</v>
      </c>
      <c r="L117">
        <f>520/0.1</f>
        <v>5200</v>
      </c>
      <c r="M117">
        <f>604/0.1</f>
        <v>6040</v>
      </c>
      <c r="N117">
        <f>671/0.1</f>
        <v>6710</v>
      </c>
      <c r="O117">
        <f>641/0.1</f>
        <v>6410</v>
      </c>
      <c r="P117">
        <f>667/0.1</f>
        <v>6670</v>
      </c>
    </row>
    <row r="118" spans="1:16" x14ac:dyDescent="0.3">
      <c r="A118" s="8" t="s">
        <v>41</v>
      </c>
      <c r="B118">
        <v>472</v>
      </c>
      <c r="C118">
        <f>261*2</f>
        <v>522</v>
      </c>
      <c r="D118">
        <f>276/0.4</f>
        <v>690</v>
      </c>
      <c r="E118" s="5">
        <f>375/0.4</f>
        <v>937.5</v>
      </c>
      <c r="F118" s="5">
        <f>447/0.4</f>
        <v>1117.5</v>
      </c>
      <c r="G118" s="5">
        <f>499/0.4</f>
        <v>1247.5</v>
      </c>
      <c r="H118">
        <f>544/0.4</f>
        <v>1360</v>
      </c>
      <c r="I118" s="5">
        <f>763/0.4</f>
        <v>1907.5</v>
      </c>
      <c r="J118">
        <f>528/0.2</f>
        <v>2640</v>
      </c>
      <c r="K118">
        <f>727/0.2</f>
        <v>3635</v>
      </c>
      <c r="L118">
        <f>509/0.1</f>
        <v>5090</v>
      </c>
      <c r="M118">
        <f>641/0.1</f>
        <v>6410</v>
      </c>
      <c r="N118">
        <f>698/0.1</f>
        <v>6980</v>
      </c>
      <c r="O118">
        <f>706/0.1</f>
        <v>7060</v>
      </c>
      <c r="P118">
        <f>735/0.1</f>
        <v>7350</v>
      </c>
    </row>
    <row r="119" spans="1:16" x14ac:dyDescent="0.3">
      <c r="A119" s="8" t="s">
        <v>42</v>
      </c>
      <c r="B119" s="5">
        <f t="shared" ref="B119:P119" si="18">AVERAGE(B116:B118)</f>
        <v>497</v>
      </c>
      <c r="C119" s="5">
        <f t="shared" si="18"/>
        <v>528.66666666666663</v>
      </c>
      <c r="D119" s="5">
        <f t="shared" si="18"/>
        <v>685</v>
      </c>
      <c r="E119" s="5">
        <f t="shared" si="18"/>
        <v>854.16666666666663</v>
      </c>
      <c r="F119" s="5">
        <f t="shared" si="18"/>
        <v>1105.8333333333333</v>
      </c>
      <c r="G119" s="5">
        <f t="shared" si="18"/>
        <v>1204.1666666666667</v>
      </c>
      <c r="H119" s="5">
        <f t="shared" si="18"/>
        <v>1404.1666666666667</v>
      </c>
      <c r="I119" s="5">
        <f t="shared" si="18"/>
        <v>1874.1666666666667</v>
      </c>
      <c r="J119" s="5">
        <f t="shared" si="18"/>
        <v>2688.3333333333335</v>
      </c>
      <c r="K119" s="5">
        <f t="shared" si="18"/>
        <v>3721.6666666666665</v>
      </c>
      <c r="L119" s="5">
        <f t="shared" si="18"/>
        <v>5153.333333333333</v>
      </c>
      <c r="M119" s="5">
        <f t="shared" si="18"/>
        <v>6280</v>
      </c>
      <c r="N119" s="5">
        <f t="shared" si="18"/>
        <v>6600</v>
      </c>
      <c r="O119" s="5">
        <f t="shared" si="18"/>
        <v>6696.666666666667</v>
      </c>
      <c r="P119" s="5">
        <f t="shared" si="18"/>
        <v>6646.666666666667</v>
      </c>
    </row>
    <row r="120" spans="1:16" x14ac:dyDescent="0.3">
      <c r="A120" s="8" t="s">
        <v>4</v>
      </c>
      <c r="B120" s="5">
        <f t="shared" ref="B120:P120" si="19">_xlfn.STDEV.S(B116:B118)</f>
        <v>26.627053911388696</v>
      </c>
      <c r="C120" s="5">
        <f t="shared" si="19"/>
        <v>11.547005383792516</v>
      </c>
      <c r="D120" s="5">
        <f t="shared" si="19"/>
        <v>6.6143782776614763</v>
      </c>
      <c r="E120" s="5">
        <f t="shared" si="19"/>
        <v>78.15582725128904</v>
      </c>
      <c r="F120" s="5">
        <f t="shared" si="19"/>
        <v>90.56535393478751</v>
      </c>
      <c r="G120" s="5">
        <f t="shared" si="19"/>
        <v>43.755951976083594</v>
      </c>
      <c r="H120" s="5">
        <f t="shared" si="19"/>
        <v>72.212071936299765</v>
      </c>
      <c r="I120" s="5">
        <f t="shared" si="19"/>
        <v>41.633319989322651</v>
      </c>
      <c r="J120" s="5">
        <f t="shared" si="19"/>
        <v>172.65090018106866</v>
      </c>
      <c r="K120" s="5">
        <f t="shared" si="19"/>
        <v>106.10529361598003</v>
      </c>
      <c r="L120" s="5">
        <f t="shared" si="19"/>
        <v>56.862407030773269</v>
      </c>
      <c r="M120" s="5">
        <f t="shared" si="19"/>
        <v>208.08652046684813</v>
      </c>
      <c r="N120" s="5">
        <f t="shared" si="19"/>
        <v>445.30888156424635</v>
      </c>
      <c r="O120" s="5">
        <f t="shared" si="19"/>
        <v>331.71272711991827</v>
      </c>
      <c r="P120" s="5">
        <f t="shared" si="19"/>
        <v>715.28549078905075</v>
      </c>
    </row>
    <row r="121" spans="1:16" x14ac:dyDescent="0.3">
      <c r="A121" s="8" t="s">
        <v>43</v>
      </c>
      <c r="B121">
        <v>0</v>
      </c>
      <c r="C121">
        <v>3</v>
      </c>
      <c r="D121">
        <v>6</v>
      </c>
      <c r="E121">
        <v>9</v>
      </c>
      <c r="F121">
        <v>12</v>
      </c>
      <c r="G121">
        <v>14</v>
      </c>
      <c r="H121">
        <v>16</v>
      </c>
      <c r="I121">
        <v>18</v>
      </c>
      <c r="J121">
        <v>21</v>
      </c>
      <c r="K121">
        <v>25</v>
      </c>
      <c r="L121">
        <v>28</v>
      </c>
      <c r="M121">
        <v>30</v>
      </c>
      <c r="N121">
        <v>33</v>
      </c>
      <c r="O121">
        <v>36</v>
      </c>
      <c r="P121">
        <v>40</v>
      </c>
    </row>
  </sheetData>
  <mergeCells count="22">
    <mergeCell ref="B114:N114"/>
    <mergeCell ref="A112:H112"/>
    <mergeCell ref="B81:N81"/>
    <mergeCell ref="A79:H79"/>
    <mergeCell ref="B92:N92"/>
    <mergeCell ref="A90:H90"/>
    <mergeCell ref="B103:N103"/>
    <mergeCell ref="A101:H101"/>
    <mergeCell ref="B48:K48"/>
    <mergeCell ref="A46:H46"/>
    <mergeCell ref="B4:V4"/>
    <mergeCell ref="B59:F59"/>
    <mergeCell ref="A57:H57"/>
    <mergeCell ref="B70:N70"/>
    <mergeCell ref="A68:H68"/>
    <mergeCell ref="A1:H1"/>
    <mergeCell ref="A13:H13"/>
    <mergeCell ref="B15:P15"/>
    <mergeCell ref="A24:H24"/>
    <mergeCell ref="B26:P26"/>
    <mergeCell ref="B37:J37"/>
    <mergeCell ref="A35:H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3"/>
  <sheetViews>
    <sheetView workbookViewId="0">
      <selection sqref="A1:K1"/>
    </sheetView>
  </sheetViews>
  <sheetFormatPr baseColWidth="10" defaultRowHeight="14.4" x14ac:dyDescent="0.3"/>
  <sheetData>
    <row r="1" spans="1:25" x14ac:dyDescent="0.3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N1" s="23" t="s">
        <v>15</v>
      </c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5" x14ac:dyDescent="0.3">
      <c r="A2" t="s">
        <v>72</v>
      </c>
    </row>
    <row r="3" spans="1:25" x14ac:dyDescent="0.3">
      <c r="A3" s="6" t="s">
        <v>3</v>
      </c>
      <c r="E3" s="6" t="s">
        <v>2</v>
      </c>
      <c r="I3" s="6" t="s">
        <v>0</v>
      </c>
      <c r="N3" s="6" t="s">
        <v>3</v>
      </c>
      <c r="R3" s="6" t="s">
        <v>2</v>
      </c>
      <c r="V3" s="6" t="s">
        <v>0</v>
      </c>
    </row>
    <row r="5" spans="1:25" x14ac:dyDescent="0.3">
      <c r="A5" t="s">
        <v>16</v>
      </c>
      <c r="B5" t="s">
        <v>17</v>
      </c>
      <c r="C5" t="s">
        <v>18</v>
      </c>
      <c r="D5" t="s">
        <v>19</v>
      </c>
      <c r="E5" t="s">
        <v>16</v>
      </c>
      <c r="F5" t="s">
        <v>17</v>
      </c>
      <c r="G5" t="s">
        <v>18</v>
      </c>
      <c r="H5" t="s">
        <v>19</v>
      </c>
      <c r="I5" t="s">
        <v>16</v>
      </c>
      <c r="J5" t="s">
        <v>17</v>
      </c>
      <c r="K5" t="s">
        <v>18</v>
      </c>
      <c r="L5" t="s">
        <v>19</v>
      </c>
      <c r="N5" t="s">
        <v>16</v>
      </c>
      <c r="O5" t="s">
        <v>17</v>
      </c>
      <c r="P5" t="s">
        <v>18</v>
      </c>
      <c r="Q5" t="s">
        <v>19</v>
      </c>
      <c r="R5" t="s">
        <v>16</v>
      </c>
      <c r="S5" t="s">
        <v>17</v>
      </c>
      <c r="T5" t="s">
        <v>18</v>
      </c>
      <c r="U5" t="s">
        <v>19</v>
      </c>
      <c r="V5" t="s">
        <v>16</v>
      </c>
      <c r="W5" t="s">
        <v>17</v>
      </c>
      <c r="X5" t="s">
        <v>18</v>
      </c>
      <c r="Y5" t="s">
        <v>19</v>
      </c>
    </row>
    <row r="6" spans="1:25" x14ac:dyDescent="0.3">
      <c r="A6">
        <v>1</v>
      </c>
      <c r="B6">
        <v>32.299999999999997</v>
      </c>
      <c r="C6">
        <v>30.1</v>
      </c>
      <c r="D6" s="7">
        <f>B6/C6</f>
        <v>1.0730897009966776</v>
      </c>
      <c r="E6">
        <v>1</v>
      </c>
      <c r="F6">
        <v>32</v>
      </c>
      <c r="G6">
        <v>29.1</v>
      </c>
      <c r="H6" s="7">
        <f>F6/G6</f>
        <v>1.099656357388316</v>
      </c>
      <c r="I6">
        <v>1</v>
      </c>
      <c r="J6">
        <v>34.5</v>
      </c>
      <c r="K6">
        <v>32.5</v>
      </c>
      <c r="L6" s="7">
        <f>J6/K6</f>
        <v>1.0615384615384615</v>
      </c>
      <c r="N6">
        <v>1</v>
      </c>
      <c r="O6">
        <v>41.4</v>
      </c>
      <c r="P6">
        <v>37.9</v>
      </c>
      <c r="Q6" s="7">
        <f>O6/P6</f>
        <v>1.0923482849604222</v>
      </c>
      <c r="R6">
        <v>1</v>
      </c>
      <c r="S6">
        <v>36.6</v>
      </c>
      <c r="T6">
        <v>32.1</v>
      </c>
      <c r="U6" s="7">
        <f>S6/T6</f>
        <v>1.1401869158878504</v>
      </c>
      <c r="V6">
        <v>1</v>
      </c>
      <c r="W6">
        <v>34.5</v>
      </c>
      <c r="X6">
        <v>30.2</v>
      </c>
      <c r="Y6" s="7">
        <f>W6/X6</f>
        <v>1.1423841059602649</v>
      </c>
    </row>
    <row r="7" spans="1:25" x14ac:dyDescent="0.3">
      <c r="A7">
        <v>2</v>
      </c>
      <c r="B7">
        <v>34.1</v>
      </c>
      <c r="C7">
        <v>31.3</v>
      </c>
      <c r="D7" s="7">
        <f t="shared" ref="D7:D35" si="0">B7/C7</f>
        <v>1.0894568690095847</v>
      </c>
      <c r="E7">
        <v>2</v>
      </c>
      <c r="F7">
        <v>35.200000000000003</v>
      </c>
      <c r="G7">
        <v>33.6</v>
      </c>
      <c r="H7" s="7">
        <f t="shared" ref="H7:H35" si="1">F7/G7</f>
        <v>1.0476190476190477</v>
      </c>
      <c r="I7">
        <v>2</v>
      </c>
      <c r="J7">
        <v>33.200000000000003</v>
      </c>
      <c r="K7">
        <v>28.5</v>
      </c>
      <c r="L7" s="7">
        <f t="shared" ref="L7:L35" si="2">J7/K7</f>
        <v>1.1649122807017545</v>
      </c>
      <c r="N7">
        <v>2</v>
      </c>
      <c r="O7">
        <v>29.5</v>
      </c>
      <c r="P7">
        <v>28.7</v>
      </c>
      <c r="Q7" s="7">
        <f t="shared" ref="Q7:Q35" si="3">O7/P7</f>
        <v>1.0278745644599303</v>
      </c>
      <c r="R7">
        <v>2</v>
      </c>
      <c r="S7">
        <v>37.700000000000003</v>
      </c>
      <c r="T7">
        <v>36.9</v>
      </c>
      <c r="U7" s="7">
        <f t="shared" ref="U7:U35" si="4">S7/T7</f>
        <v>1.0216802168021681</v>
      </c>
      <c r="V7">
        <v>2</v>
      </c>
      <c r="W7">
        <v>36.799999999999997</v>
      </c>
      <c r="X7">
        <v>31.3</v>
      </c>
      <c r="Y7" s="7">
        <f t="shared" ref="Y7:Y35" si="5">W7/X7</f>
        <v>1.1757188498402555</v>
      </c>
    </row>
    <row r="8" spans="1:25" x14ac:dyDescent="0.3">
      <c r="A8">
        <v>3</v>
      </c>
      <c r="B8">
        <v>29.2</v>
      </c>
      <c r="C8">
        <v>28</v>
      </c>
      <c r="D8" s="7">
        <f t="shared" si="0"/>
        <v>1.0428571428571429</v>
      </c>
      <c r="E8">
        <v>3</v>
      </c>
      <c r="F8">
        <v>31.7</v>
      </c>
      <c r="G8">
        <v>30.1</v>
      </c>
      <c r="H8" s="7">
        <f t="shared" si="1"/>
        <v>1.0531561461794019</v>
      </c>
      <c r="I8">
        <v>3</v>
      </c>
      <c r="J8">
        <v>33.299999999999997</v>
      </c>
      <c r="K8">
        <v>29.9</v>
      </c>
      <c r="L8" s="7">
        <f t="shared" si="2"/>
        <v>1.1137123745819397</v>
      </c>
      <c r="N8">
        <v>3</v>
      </c>
      <c r="O8">
        <v>30.3</v>
      </c>
      <c r="P8">
        <v>34.5</v>
      </c>
      <c r="Q8" s="7">
        <f t="shared" si="3"/>
        <v>0.87826086956521743</v>
      </c>
      <c r="R8">
        <v>3</v>
      </c>
      <c r="S8">
        <v>35.4</v>
      </c>
      <c r="T8">
        <v>32.4</v>
      </c>
      <c r="U8" s="7">
        <f t="shared" si="4"/>
        <v>1.0925925925925926</v>
      </c>
      <c r="V8">
        <v>3</v>
      </c>
      <c r="W8">
        <v>34.700000000000003</v>
      </c>
      <c r="X8">
        <v>33.799999999999997</v>
      </c>
      <c r="Y8" s="7">
        <f t="shared" si="5"/>
        <v>1.0266272189349115</v>
      </c>
    </row>
    <row r="9" spans="1:25" x14ac:dyDescent="0.3">
      <c r="A9">
        <v>4</v>
      </c>
      <c r="B9">
        <v>29.7</v>
      </c>
      <c r="C9">
        <v>26.8</v>
      </c>
      <c r="D9" s="7">
        <f t="shared" si="0"/>
        <v>1.1082089552238805</v>
      </c>
      <c r="E9">
        <v>4</v>
      </c>
      <c r="F9">
        <v>30.7</v>
      </c>
      <c r="G9">
        <v>29.3</v>
      </c>
      <c r="H9" s="7">
        <f t="shared" si="1"/>
        <v>1.0477815699658704</v>
      </c>
      <c r="I9">
        <v>4</v>
      </c>
      <c r="J9">
        <v>30.2</v>
      </c>
      <c r="K9">
        <v>27.9</v>
      </c>
      <c r="L9" s="7">
        <f t="shared" si="2"/>
        <v>1.0824372759856631</v>
      </c>
      <c r="N9">
        <v>4</v>
      </c>
      <c r="O9">
        <v>30.3</v>
      </c>
      <c r="P9">
        <v>31.4</v>
      </c>
      <c r="Q9" s="7">
        <f t="shared" si="3"/>
        <v>0.96496815286624216</v>
      </c>
      <c r="R9">
        <v>4</v>
      </c>
      <c r="S9">
        <v>41.2</v>
      </c>
      <c r="T9">
        <v>36.4</v>
      </c>
      <c r="U9" s="7">
        <f t="shared" si="4"/>
        <v>1.1318681318681321</v>
      </c>
      <c r="V9">
        <v>4</v>
      </c>
      <c r="W9">
        <v>34.4</v>
      </c>
      <c r="X9">
        <v>33.1</v>
      </c>
      <c r="Y9" s="7">
        <f t="shared" si="5"/>
        <v>1.0392749244712991</v>
      </c>
    </row>
    <row r="10" spans="1:25" x14ac:dyDescent="0.3">
      <c r="A10">
        <v>5</v>
      </c>
      <c r="B10">
        <v>28.2</v>
      </c>
      <c r="C10">
        <v>27.4</v>
      </c>
      <c r="D10" s="7">
        <f t="shared" si="0"/>
        <v>1.0291970802919708</v>
      </c>
      <c r="E10">
        <v>5</v>
      </c>
      <c r="F10">
        <v>30.8</v>
      </c>
      <c r="G10">
        <v>30.3</v>
      </c>
      <c r="H10" s="7">
        <f t="shared" si="1"/>
        <v>1.0165016501650166</v>
      </c>
      <c r="I10">
        <v>5</v>
      </c>
      <c r="J10">
        <v>40.200000000000003</v>
      </c>
      <c r="K10">
        <v>36.6</v>
      </c>
      <c r="L10" s="7">
        <f t="shared" si="2"/>
        <v>1.098360655737705</v>
      </c>
      <c r="N10">
        <v>5</v>
      </c>
      <c r="O10">
        <v>33.9</v>
      </c>
      <c r="P10">
        <v>30</v>
      </c>
      <c r="Q10" s="7">
        <f t="shared" si="3"/>
        <v>1.1299999999999999</v>
      </c>
      <c r="R10">
        <v>5</v>
      </c>
      <c r="S10">
        <v>37.4</v>
      </c>
      <c r="T10">
        <v>34.9</v>
      </c>
      <c r="U10" s="7">
        <f t="shared" si="4"/>
        <v>1.0716332378223496</v>
      </c>
      <c r="V10">
        <v>5</v>
      </c>
      <c r="W10">
        <v>30.6</v>
      </c>
      <c r="X10">
        <v>29.7</v>
      </c>
      <c r="Y10" s="7">
        <f t="shared" si="5"/>
        <v>1.0303030303030303</v>
      </c>
    </row>
    <row r="11" spans="1:25" x14ac:dyDescent="0.3">
      <c r="A11">
        <v>6</v>
      </c>
      <c r="B11">
        <v>29.7</v>
      </c>
      <c r="C11">
        <v>28.5</v>
      </c>
      <c r="D11" s="7">
        <f t="shared" si="0"/>
        <v>1.0421052631578946</v>
      </c>
      <c r="E11">
        <v>6</v>
      </c>
      <c r="F11">
        <v>30.2</v>
      </c>
      <c r="G11">
        <v>29.6</v>
      </c>
      <c r="H11" s="7">
        <f t="shared" si="1"/>
        <v>1.0202702702702702</v>
      </c>
      <c r="I11">
        <v>6</v>
      </c>
      <c r="J11">
        <v>33.5</v>
      </c>
      <c r="K11">
        <v>30</v>
      </c>
      <c r="L11" s="7">
        <f t="shared" si="2"/>
        <v>1.1166666666666667</v>
      </c>
      <c r="N11">
        <v>6</v>
      </c>
      <c r="O11">
        <v>29.7</v>
      </c>
      <c r="P11">
        <v>32.1</v>
      </c>
      <c r="Q11" s="7">
        <f t="shared" si="3"/>
        <v>0.92523364485981308</v>
      </c>
      <c r="R11">
        <v>6</v>
      </c>
      <c r="S11">
        <v>35.4</v>
      </c>
      <c r="T11">
        <v>38.5</v>
      </c>
      <c r="U11" s="7">
        <f t="shared" si="4"/>
        <v>0.91948051948051945</v>
      </c>
      <c r="V11">
        <v>6</v>
      </c>
      <c r="W11">
        <v>43.3</v>
      </c>
      <c r="X11">
        <v>38.200000000000003</v>
      </c>
      <c r="Y11" s="7">
        <f t="shared" si="5"/>
        <v>1.1335078534031413</v>
      </c>
    </row>
    <row r="12" spans="1:25" x14ac:dyDescent="0.3">
      <c r="A12">
        <v>7</v>
      </c>
      <c r="B12">
        <v>30.2</v>
      </c>
      <c r="C12">
        <v>31.3</v>
      </c>
      <c r="D12" s="7">
        <f t="shared" si="0"/>
        <v>0.96485623003194887</v>
      </c>
      <c r="E12">
        <v>7</v>
      </c>
      <c r="F12">
        <v>32.799999999999997</v>
      </c>
      <c r="G12">
        <v>28.6</v>
      </c>
      <c r="H12" s="7">
        <f t="shared" si="1"/>
        <v>1.1468531468531467</v>
      </c>
      <c r="I12">
        <v>7</v>
      </c>
      <c r="J12">
        <v>33.5</v>
      </c>
      <c r="K12">
        <v>32.700000000000003</v>
      </c>
      <c r="L12" s="7">
        <f t="shared" si="2"/>
        <v>1.0244648318042813</v>
      </c>
      <c r="N12">
        <v>7</v>
      </c>
      <c r="O12">
        <v>31.6</v>
      </c>
      <c r="P12">
        <v>30.3</v>
      </c>
      <c r="Q12" s="7">
        <f t="shared" si="3"/>
        <v>1.0429042904290429</v>
      </c>
      <c r="R12">
        <v>7</v>
      </c>
      <c r="S12">
        <v>35.1</v>
      </c>
      <c r="T12">
        <v>30</v>
      </c>
      <c r="U12" s="7">
        <f t="shared" si="4"/>
        <v>1.1700000000000002</v>
      </c>
      <c r="V12">
        <v>7</v>
      </c>
      <c r="W12">
        <v>29.2</v>
      </c>
      <c r="X12">
        <v>30.9</v>
      </c>
      <c r="Y12" s="7">
        <f t="shared" si="5"/>
        <v>0.94498381877022652</v>
      </c>
    </row>
    <row r="13" spans="1:25" x14ac:dyDescent="0.3">
      <c r="A13">
        <v>8</v>
      </c>
      <c r="B13">
        <v>29.3</v>
      </c>
      <c r="C13">
        <v>27.4</v>
      </c>
      <c r="D13" s="7">
        <f t="shared" si="0"/>
        <v>1.0693430656934306</v>
      </c>
      <c r="E13">
        <v>8</v>
      </c>
      <c r="F13">
        <v>29.7</v>
      </c>
      <c r="G13">
        <v>28.3</v>
      </c>
      <c r="H13" s="7">
        <f t="shared" si="1"/>
        <v>1.0494699646643109</v>
      </c>
      <c r="I13">
        <v>8</v>
      </c>
      <c r="J13">
        <v>27.7</v>
      </c>
      <c r="K13">
        <v>26.8</v>
      </c>
      <c r="L13" s="7">
        <f t="shared" si="2"/>
        <v>1.0335820895522387</v>
      </c>
      <c r="N13">
        <v>8</v>
      </c>
      <c r="O13">
        <v>30.9</v>
      </c>
      <c r="P13">
        <v>27.9</v>
      </c>
      <c r="Q13" s="7">
        <f t="shared" si="3"/>
        <v>1.10752688172043</v>
      </c>
      <c r="R13">
        <v>8</v>
      </c>
      <c r="S13">
        <v>31.8</v>
      </c>
      <c r="T13">
        <v>29.2</v>
      </c>
      <c r="U13" s="7">
        <f t="shared" si="4"/>
        <v>1.0890410958904111</v>
      </c>
      <c r="V13">
        <v>8</v>
      </c>
      <c r="W13">
        <v>35.9</v>
      </c>
      <c r="X13">
        <v>32.1</v>
      </c>
      <c r="Y13" s="7">
        <f t="shared" si="5"/>
        <v>1.118380062305296</v>
      </c>
    </row>
    <row r="14" spans="1:25" x14ac:dyDescent="0.3">
      <c r="A14">
        <v>9</v>
      </c>
      <c r="B14">
        <v>32.9</v>
      </c>
      <c r="C14">
        <v>28.2</v>
      </c>
      <c r="D14" s="7">
        <f t="shared" si="0"/>
        <v>1.1666666666666667</v>
      </c>
      <c r="E14">
        <v>9</v>
      </c>
      <c r="F14">
        <v>33</v>
      </c>
      <c r="G14">
        <v>29.3</v>
      </c>
      <c r="H14" s="7">
        <f t="shared" si="1"/>
        <v>1.1262798634812285</v>
      </c>
      <c r="I14">
        <v>9</v>
      </c>
      <c r="J14">
        <v>28.8</v>
      </c>
      <c r="K14">
        <v>27.6</v>
      </c>
      <c r="L14" s="7">
        <f t="shared" si="2"/>
        <v>1.0434782608695652</v>
      </c>
      <c r="N14">
        <v>9</v>
      </c>
      <c r="O14">
        <v>32.299999999999997</v>
      </c>
      <c r="P14">
        <v>30.1</v>
      </c>
      <c r="Q14" s="7">
        <f t="shared" si="3"/>
        <v>1.0730897009966776</v>
      </c>
      <c r="R14">
        <v>9</v>
      </c>
      <c r="S14">
        <v>36.200000000000003</v>
      </c>
      <c r="T14">
        <v>34.4</v>
      </c>
      <c r="U14" s="7">
        <f t="shared" si="4"/>
        <v>1.0523255813953489</v>
      </c>
      <c r="V14">
        <v>9</v>
      </c>
      <c r="W14">
        <v>33.9</v>
      </c>
      <c r="X14">
        <v>34.200000000000003</v>
      </c>
      <c r="Y14" s="7">
        <f t="shared" si="5"/>
        <v>0.99122807017543846</v>
      </c>
    </row>
    <row r="15" spans="1:25" x14ac:dyDescent="0.3">
      <c r="A15">
        <v>10</v>
      </c>
      <c r="B15">
        <v>32.299999999999997</v>
      </c>
      <c r="C15">
        <v>31.7</v>
      </c>
      <c r="D15" s="7">
        <f t="shared" si="0"/>
        <v>1.0189274447949526</v>
      </c>
      <c r="E15">
        <v>10</v>
      </c>
      <c r="F15">
        <v>32</v>
      </c>
      <c r="G15">
        <v>29</v>
      </c>
      <c r="H15" s="7">
        <f t="shared" si="1"/>
        <v>1.103448275862069</v>
      </c>
      <c r="I15">
        <v>10</v>
      </c>
      <c r="J15">
        <v>33.299999999999997</v>
      </c>
      <c r="K15">
        <v>31.3</v>
      </c>
      <c r="L15" s="7">
        <f t="shared" si="2"/>
        <v>1.0638977635782747</v>
      </c>
      <c r="N15">
        <v>10</v>
      </c>
      <c r="O15">
        <v>37.1</v>
      </c>
      <c r="P15">
        <v>32.5</v>
      </c>
      <c r="Q15" s="7">
        <f t="shared" si="3"/>
        <v>1.1415384615384616</v>
      </c>
      <c r="R15">
        <v>10</v>
      </c>
      <c r="S15">
        <v>34.5</v>
      </c>
      <c r="T15">
        <v>32.6</v>
      </c>
      <c r="U15" s="7">
        <f t="shared" si="4"/>
        <v>1.0582822085889569</v>
      </c>
      <c r="V15">
        <v>10</v>
      </c>
      <c r="W15">
        <v>35.4</v>
      </c>
      <c r="X15">
        <v>34.700000000000003</v>
      </c>
      <c r="Y15" s="7">
        <f t="shared" si="5"/>
        <v>1.0201729106628241</v>
      </c>
    </row>
    <row r="16" spans="1:25" x14ac:dyDescent="0.3">
      <c r="A16">
        <v>11</v>
      </c>
      <c r="B16">
        <v>29.4</v>
      </c>
      <c r="C16">
        <v>27</v>
      </c>
      <c r="D16" s="7">
        <f t="shared" si="0"/>
        <v>1.0888888888888888</v>
      </c>
      <c r="E16">
        <v>11</v>
      </c>
      <c r="F16">
        <v>36.1</v>
      </c>
      <c r="G16">
        <v>33.6</v>
      </c>
      <c r="H16" s="7">
        <f t="shared" si="1"/>
        <v>1.0744047619047619</v>
      </c>
      <c r="I16">
        <v>11</v>
      </c>
      <c r="J16">
        <v>29.2</v>
      </c>
      <c r="K16">
        <v>28.6</v>
      </c>
      <c r="L16" s="7">
        <f t="shared" si="2"/>
        <v>1.0209790209790208</v>
      </c>
      <c r="N16">
        <v>11</v>
      </c>
      <c r="O16">
        <v>34.6</v>
      </c>
      <c r="P16">
        <v>32.9</v>
      </c>
      <c r="Q16" s="7">
        <f t="shared" si="3"/>
        <v>1.0516717325227964</v>
      </c>
      <c r="R16">
        <v>11</v>
      </c>
      <c r="S16">
        <v>38.700000000000003</v>
      </c>
      <c r="T16">
        <v>33.5</v>
      </c>
      <c r="U16" s="7">
        <f t="shared" si="4"/>
        <v>1.155223880597015</v>
      </c>
      <c r="V16">
        <v>11</v>
      </c>
      <c r="W16">
        <v>32.9</v>
      </c>
      <c r="X16">
        <v>30.6</v>
      </c>
      <c r="Y16" s="7">
        <f t="shared" si="5"/>
        <v>1.0751633986928104</v>
      </c>
    </row>
    <row r="17" spans="1:25" x14ac:dyDescent="0.3">
      <c r="A17">
        <v>12</v>
      </c>
      <c r="B17">
        <v>31.4</v>
      </c>
      <c r="C17">
        <v>29.4</v>
      </c>
      <c r="D17" s="7">
        <f t="shared" si="0"/>
        <v>1.0680272108843538</v>
      </c>
      <c r="E17">
        <v>12</v>
      </c>
      <c r="F17">
        <v>32.1</v>
      </c>
      <c r="G17">
        <v>29.5</v>
      </c>
      <c r="H17" s="7">
        <f t="shared" si="1"/>
        <v>1.0881355932203389</v>
      </c>
      <c r="I17">
        <v>12</v>
      </c>
      <c r="J17">
        <v>29.2</v>
      </c>
      <c r="K17">
        <v>27.5</v>
      </c>
      <c r="L17" s="7">
        <f t="shared" si="2"/>
        <v>1.0618181818181818</v>
      </c>
      <c r="N17">
        <v>12</v>
      </c>
      <c r="O17">
        <v>33.200000000000003</v>
      </c>
      <c r="P17">
        <v>31.4</v>
      </c>
      <c r="Q17" s="7">
        <f t="shared" si="3"/>
        <v>1.0573248407643314</v>
      </c>
      <c r="R17">
        <v>12</v>
      </c>
      <c r="S17">
        <v>35.799999999999997</v>
      </c>
      <c r="T17">
        <v>32.200000000000003</v>
      </c>
      <c r="U17" s="7">
        <f t="shared" si="4"/>
        <v>1.1118012422360246</v>
      </c>
      <c r="V17">
        <v>12</v>
      </c>
      <c r="W17">
        <v>34.1</v>
      </c>
      <c r="X17">
        <v>32</v>
      </c>
      <c r="Y17" s="7">
        <f t="shared" si="5"/>
        <v>1.065625</v>
      </c>
    </row>
    <row r="18" spans="1:25" x14ac:dyDescent="0.3">
      <c r="A18">
        <v>13</v>
      </c>
      <c r="B18">
        <v>29.1</v>
      </c>
      <c r="C18">
        <v>26.7</v>
      </c>
      <c r="D18" s="7">
        <f t="shared" si="0"/>
        <v>1.0898876404494382</v>
      </c>
      <c r="E18">
        <v>13</v>
      </c>
      <c r="F18">
        <v>30.6</v>
      </c>
      <c r="G18">
        <v>26.5</v>
      </c>
      <c r="H18" s="7">
        <f t="shared" si="1"/>
        <v>1.1547169811320754</v>
      </c>
      <c r="I18">
        <v>13</v>
      </c>
      <c r="J18">
        <v>31.5</v>
      </c>
      <c r="K18">
        <v>25.9</v>
      </c>
      <c r="L18" s="7">
        <f t="shared" si="2"/>
        <v>1.2162162162162162</v>
      </c>
      <c r="N18">
        <v>13</v>
      </c>
      <c r="O18">
        <v>29.5</v>
      </c>
      <c r="P18">
        <v>28.6</v>
      </c>
      <c r="Q18" s="7">
        <f t="shared" si="3"/>
        <v>1.0314685314685315</v>
      </c>
      <c r="R18">
        <v>13</v>
      </c>
      <c r="S18">
        <v>35.9</v>
      </c>
      <c r="T18">
        <v>34.299999999999997</v>
      </c>
      <c r="U18" s="7">
        <f t="shared" si="4"/>
        <v>1.0466472303206997</v>
      </c>
      <c r="V18">
        <v>13</v>
      </c>
      <c r="W18">
        <v>35.4</v>
      </c>
      <c r="X18">
        <v>34.5</v>
      </c>
      <c r="Y18" s="7">
        <f t="shared" si="5"/>
        <v>1.026086956521739</v>
      </c>
    </row>
    <row r="19" spans="1:25" x14ac:dyDescent="0.3">
      <c r="A19">
        <v>14</v>
      </c>
      <c r="B19">
        <v>32</v>
      </c>
      <c r="C19">
        <v>29.3</v>
      </c>
      <c r="D19" s="7">
        <f t="shared" si="0"/>
        <v>1.0921501706484642</v>
      </c>
      <c r="E19">
        <v>14</v>
      </c>
      <c r="F19">
        <v>34.1</v>
      </c>
      <c r="G19">
        <v>32.6</v>
      </c>
      <c r="H19" s="7">
        <f t="shared" si="1"/>
        <v>1.0460122699386503</v>
      </c>
      <c r="I19">
        <v>14</v>
      </c>
      <c r="J19">
        <v>33</v>
      </c>
      <c r="K19">
        <v>31.7</v>
      </c>
      <c r="L19" s="7">
        <f t="shared" si="2"/>
        <v>1.0410094637223974</v>
      </c>
      <c r="N19">
        <v>14</v>
      </c>
      <c r="O19">
        <v>31.4</v>
      </c>
      <c r="P19">
        <v>31.1</v>
      </c>
      <c r="Q19" s="7">
        <f t="shared" si="3"/>
        <v>1.0096463022508038</v>
      </c>
      <c r="R19">
        <v>14</v>
      </c>
      <c r="S19">
        <v>30.3</v>
      </c>
      <c r="T19">
        <v>29.6</v>
      </c>
      <c r="U19" s="7">
        <f t="shared" si="4"/>
        <v>1.0236486486486487</v>
      </c>
      <c r="V19">
        <v>14</v>
      </c>
      <c r="W19">
        <v>33.200000000000003</v>
      </c>
      <c r="X19">
        <v>30.1</v>
      </c>
      <c r="Y19" s="7">
        <f t="shared" si="5"/>
        <v>1.1029900332225915</v>
      </c>
    </row>
    <row r="20" spans="1:25" x14ac:dyDescent="0.3">
      <c r="A20">
        <v>15</v>
      </c>
      <c r="B20">
        <v>34.700000000000003</v>
      </c>
      <c r="C20">
        <v>32.700000000000003</v>
      </c>
      <c r="D20" s="7">
        <f t="shared" si="0"/>
        <v>1.0611620795107033</v>
      </c>
      <c r="E20">
        <v>15</v>
      </c>
      <c r="F20">
        <v>37.5</v>
      </c>
      <c r="G20">
        <v>30.2</v>
      </c>
      <c r="H20" s="7">
        <f t="shared" si="1"/>
        <v>1.2417218543046358</v>
      </c>
      <c r="I20">
        <v>15</v>
      </c>
      <c r="J20">
        <v>31.9</v>
      </c>
      <c r="K20">
        <v>30</v>
      </c>
      <c r="L20" s="7">
        <f t="shared" si="2"/>
        <v>1.0633333333333332</v>
      </c>
      <c r="N20">
        <v>15</v>
      </c>
      <c r="O20">
        <v>39.4</v>
      </c>
      <c r="P20">
        <v>37.4</v>
      </c>
      <c r="Q20" s="7">
        <f t="shared" si="3"/>
        <v>1.053475935828877</v>
      </c>
      <c r="R20">
        <v>15</v>
      </c>
      <c r="S20">
        <v>34.1</v>
      </c>
      <c r="T20">
        <v>32.299999999999997</v>
      </c>
      <c r="U20" s="7">
        <f t="shared" si="4"/>
        <v>1.0557275541795668</v>
      </c>
      <c r="V20">
        <v>15</v>
      </c>
      <c r="W20">
        <v>32.200000000000003</v>
      </c>
      <c r="X20">
        <v>30.4</v>
      </c>
      <c r="Y20" s="7">
        <f t="shared" si="5"/>
        <v>1.0592105263157896</v>
      </c>
    </row>
    <row r="21" spans="1:25" x14ac:dyDescent="0.3">
      <c r="A21">
        <v>16</v>
      </c>
      <c r="B21">
        <v>32</v>
      </c>
      <c r="C21">
        <v>31.6</v>
      </c>
      <c r="D21" s="7">
        <f t="shared" si="0"/>
        <v>1.0126582278481011</v>
      </c>
      <c r="E21">
        <v>16</v>
      </c>
      <c r="F21">
        <v>29.8</v>
      </c>
      <c r="G21">
        <v>28.6</v>
      </c>
      <c r="H21" s="7">
        <f t="shared" si="1"/>
        <v>1.0419580419580419</v>
      </c>
      <c r="I21">
        <v>16</v>
      </c>
      <c r="J21">
        <v>30.4</v>
      </c>
      <c r="K21">
        <v>29.1</v>
      </c>
      <c r="L21" s="7">
        <f t="shared" si="2"/>
        <v>1.0446735395189002</v>
      </c>
      <c r="N21">
        <v>16</v>
      </c>
      <c r="O21">
        <v>39.700000000000003</v>
      </c>
      <c r="P21">
        <v>37.700000000000003</v>
      </c>
      <c r="Q21" s="7">
        <f t="shared" si="3"/>
        <v>1.0530503978779842</v>
      </c>
      <c r="R21">
        <v>16</v>
      </c>
      <c r="S21">
        <v>32.9</v>
      </c>
      <c r="T21">
        <v>31.1</v>
      </c>
      <c r="U21" s="7">
        <f t="shared" si="4"/>
        <v>1.057877813504823</v>
      </c>
      <c r="V21">
        <v>16</v>
      </c>
      <c r="W21">
        <v>38.299999999999997</v>
      </c>
      <c r="X21">
        <v>33.1</v>
      </c>
      <c r="Y21" s="7">
        <f t="shared" si="5"/>
        <v>1.1570996978851962</v>
      </c>
    </row>
    <row r="22" spans="1:25" x14ac:dyDescent="0.3">
      <c r="A22">
        <v>17</v>
      </c>
      <c r="B22">
        <v>34.799999999999997</v>
      </c>
      <c r="C22">
        <v>33</v>
      </c>
      <c r="D22" s="7">
        <f t="shared" si="0"/>
        <v>1.0545454545454545</v>
      </c>
      <c r="E22">
        <v>17</v>
      </c>
      <c r="F22">
        <v>33</v>
      </c>
      <c r="G22">
        <v>31.7</v>
      </c>
      <c r="H22" s="7">
        <f t="shared" si="1"/>
        <v>1.0410094637223974</v>
      </c>
      <c r="I22">
        <v>17</v>
      </c>
      <c r="J22">
        <v>29.8</v>
      </c>
      <c r="K22">
        <v>27.7</v>
      </c>
      <c r="L22" s="7">
        <f t="shared" si="2"/>
        <v>1.075812274368231</v>
      </c>
      <c r="N22">
        <v>17</v>
      </c>
      <c r="O22">
        <v>31</v>
      </c>
      <c r="P22">
        <v>29.1</v>
      </c>
      <c r="Q22" s="7">
        <f t="shared" si="3"/>
        <v>1.0652920962199313</v>
      </c>
      <c r="R22">
        <v>17</v>
      </c>
      <c r="S22">
        <v>35.9</v>
      </c>
      <c r="T22">
        <v>35.4</v>
      </c>
      <c r="U22" s="7">
        <f t="shared" si="4"/>
        <v>1.0141242937853108</v>
      </c>
      <c r="V22">
        <v>17</v>
      </c>
      <c r="W22">
        <v>32.299999999999997</v>
      </c>
      <c r="X22">
        <v>32.299999999999997</v>
      </c>
      <c r="Y22" s="7">
        <f t="shared" si="5"/>
        <v>1</v>
      </c>
    </row>
    <row r="23" spans="1:25" x14ac:dyDescent="0.3">
      <c r="A23">
        <v>18</v>
      </c>
      <c r="B23">
        <v>29.1</v>
      </c>
      <c r="C23">
        <v>27</v>
      </c>
      <c r="D23" s="7">
        <f t="shared" si="0"/>
        <v>1.0777777777777777</v>
      </c>
      <c r="E23">
        <v>18</v>
      </c>
      <c r="F23">
        <v>28.3</v>
      </c>
      <c r="G23">
        <v>26.5</v>
      </c>
      <c r="H23" s="7">
        <f t="shared" si="1"/>
        <v>1.0679245283018868</v>
      </c>
      <c r="I23">
        <v>18</v>
      </c>
      <c r="J23">
        <v>32</v>
      </c>
      <c r="K23">
        <v>29.1</v>
      </c>
      <c r="L23" s="7">
        <f t="shared" si="2"/>
        <v>1.099656357388316</v>
      </c>
      <c r="N23">
        <v>18</v>
      </c>
      <c r="O23">
        <v>39</v>
      </c>
      <c r="P23">
        <v>37.700000000000003</v>
      </c>
      <c r="Q23" s="7">
        <f t="shared" si="3"/>
        <v>1.0344827586206895</v>
      </c>
      <c r="R23">
        <v>18</v>
      </c>
      <c r="S23">
        <v>35.9</v>
      </c>
      <c r="T23">
        <v>34.200000000000003</v>
      </c>
      <c r="U23" s="7">
        <f t="shared" si="4"/>
        <v>1.0497076023391811</v>
      </c>
      <c r="V23">
        <v>18</v>
      </c>
      <c r="W23">
        <v>32</v>
      </c>
      <c r="X23">
        <v>27.6</v>
      </c>
      <c r="Y23" s="7">
        <f t="shared" si="5"/>
        <v>1.1594202898550725</v>
      </c>
    </row>
    <row r="24" spans="1:25" x14ac:dyDescent="0.3">
      <c r="A24">
        <v>19</v>
      </c>
      <c r="B24">
        <v>33.299999999999997</v>
      </c>
      <c r="C24">
        <v>29.3</v>
      </c>
      <c r="D24" s="7">
        <f t="shared" si="0"/>
        <v>1.1365187713310578</v>
      </c>
      <c r="E24">
        <v>19</v>
      </c>
      <c r="F24">
        <v>31.8</v>
      </c>
      <c r="G24">
        <v>29.9</v>
      </c>
      <c r="H24" s="7">
        <f t="shared" si="1"/>
        <v>1.0635451505016724</v>
      </c>
      <c r="I24">
        <v>19</v>
      </c>
      <c r="J24">
        <v>34.6</v>
      </c>
      <c r="K24">
        <v>32.200000000000003</v>
      </c>
      <c r="L24" s="7">
        <f t="shared" si="2"/>
        <v>1.0745341614906831</v>
      </c>
      <c r="N24">
        <v>19</v>
      </c>
      <c r="O24">
        <v>31.6</v>
      </c>
      <c r="P24">
        <v>34.200000000000003</v>
      </c>
      <c r="Q24" s="7">
        <f t="shared" si="3"/>
        <v>0.92397660818713445</v>
      </c>
      <c r="R24">
        <v>19</v>
      </c>
      <c r="S24">
        <v>35</v>
      </c>
      <c r="T24">
        <v>33.700000000000003</v>
      </c>
      <c r="U24" s="7">
        <f t="shared" si="4"/>
        <v>1.0385756676557862</v>
      </c>
      <c r="V24">
        <v>19</v>
      </c>
      <c r="W24">
        <v>31.7</v>
      </c>
      <c r="X24">
        <v>33.1</v>
      </c>
      <c r="Y24" s="7">
        <f t="shared" si="5"/>
        <v>0.95770392749244704</v>
      </c>
    </row>
    <row r="25" spans="1:25" x14ac:dyDescent="0.3">
      <c r="A25">
        <v>20</v>
      </c>
      <c r="B25">
        <v>33.1</v>
      </c>
      <c r="C25">
        <v>32.200000000000003</v>
      </c>
      <c r="D25" s="7">
        <f t="shared" si="0"/>
        <v>1.0279503105590062</v>
      </c>
      <c r="E25">
        <v>20</v>
      </c>
      <c r="F25">
        <v>39.299999999999997</v>
      </c>
      <c r="G25">
        <v>35</v>
      </c>
      <c r="H25" s="7">
        <f t="shared" si="1"/>
        <v>1.1228571428571428</v>
      </c>
      <c r="I25">
        <v>20</v>
      </c>
      <c r="J25">
        <v>33.200000000000003</v>
      </c>
      <c r="K25">
        <v>30</v>
      </c>
      <c r="L25" s="7">
        <f t="shared" si="2"/>
        <v>1.1066666666666667</v>
      </c>
      <c r="N25">
        <v>20</v>
      </c>
      <c r="O25">
        <v>33.799999999999997</v>
      </c>
      <c r="P25">
        <v>32.799999999999997</v>
      </c>
      <c r="Q25" s="7">
        <f t="shared" si="3"/>
        <v>1.0304878048780488</v>
      </c>
      <c r="R25">
        <v>20</v>
      </c>
      <c r="S25">
        <v>30.5</v>
      </c>
      <c r="T25">
        <v>29.8</v>
      </c>
      <c r="U25" s="7">
        <f t="shared" si="4"/>
        <v>1.023489932885906</v>
      </c>
      <c r="V25">
        <v>20</v>
      </c>
      <c r="W25">
        <v>38.299999999999997</v>
      </c>
      <c r="X25">
        <v>35.299999999999997</v>
      </c>
      <c r="Y25" s="7">
        <f t="shared" si="5"/>
        <v>1.0849858356940509</v>
      </c>
    </row>
    <row r="26" spans="1:25" x14ac:dyDescent="0.3">
      <c r="A26">
        <v>21</v>
      </c>
      <c r="B26">
        <v>29.9</v>
      </c>
      <c r="C26">
        <v>30.4</v>
      </c>
      <c r="D26" s="7">
        <f t="shared" si="0"/>
        <v>0.98355263157894735</v>
      </c>
      <c r="E26">
        <v>21</v>
      </c>
      <c r="F26">
        <v>34.1</v>
      </c>
      <c r="G26">
        <v>30.9</v>
      </c>
      <c r="H26" s="7">
        <f t="shared" si="1"/>
        <v>1.1035598705501619</v>
      </c>
      <c r="I26">
        <v>21</v>
      </c>
      <c r="J26">
        <v>33.1</v>
      </c>
      <c r="K26">
        <v>33.200000000000003</v>
      </c>
      <c r="L26" s="7">
        <f t="shared" si="2"/>
        <v>0.99698795180722888</v>
      </c>
      <c r="N26">
        <v>21</v>
      </c>
      <c r="O26">
        <v>31.6</v>
      </c>
      <c r="P26">
        <v>28.8</v>
      </c>
      <c r="Q26" s="7">
        <f t="shared" si="3"/>
        <v>1.0972222222222223</v>
      </c>
      <c r="R26">
        <v>21</v>
      </c>
      <c r="S26">
        <v>31.6</v>
      </c>
      <c r="T26">
        <v>29.4</v>
      </c>
      <c r="U26" s="7">
        <f t="shared" si="4"/>
        <v>1.0748299319727892</v>
      </c>
      <c r="V26">
        <v>21</v>
      </c>
      <c r="W26">
        <v>40.799999999999997</v>
      </c>
      <c r="X26">
        <v>36.5</v>
      </c>
      <c r="Y26" s="7">
        <f t="shared" si="5"/>
        <v>1.117808219178082</v>
      </c>
    </row>
    <row r="27" spans="1:25" x14ac:dyDescent="0.3">
      <c r="A27">
        <v>22</v>
      </c>
      <c r="B27">
        <v>29.8</v>
      </c>
      <c r="C27">
        <v>28.9</v>
      </c>
      <c r="D27" s="7">
        <f t="shared" si="0"/>
        <v>1.0311418685121108</v>
      </c>
      <c r="E27">
        <v>22</v>
      </c>
      <c r="F27">
        <v>30</v>
      </c>
      <c r="G27">
        <v>28.6</v>
      </c>
      <c r="H27" s="7">
        <f t="shared" si="1"/>
        <v>1.048951048951049</v>
      </c>
      <c r="I27">
        <v>22</v>
      </c>
      <c r="J27">
        <v>32.299999999999997</v>
      </c>
      <c r="K27">
        <v>30.9</v>
      </c>
      <c r="L27" s="7">
        <f t="shared" si="2"/>
        <v>1.0453074433656957</v>
      </c>
      <c r="N27">
        <v>22</v>
      </c>
      <c r="O27">
        <v>34.6</v>
      </c>
      <c r="P27">
        <v>35.4</v>
      </c>
      <c r="Q27" s="7">
        <f t="shared" si="3"/>
        <v>0.97740112994350292</v>
      </c>
      <c r="R27">
        <v>22</v>
      </c>
      <c r="S27">
        <v>31.4</v>
      </c>
      <c r="T27">
        <v>30.7</v>
      </c>
      <c r="U27" s="7">
        <f t="shared" si="4"/>
        <v>1.0228013029315961</v>
      </c>
      <c r="V27">
        <v>22</v>
      </c>
      <c r="W27">
        <v>35.299999999999997</v>
      </c>
      <c r="X27">
        <v>34.200000000000003</v>
      </c>
      <c r="Y27" s="7">
        <f t="shared" si="5"/>
        <v>1.0321637426900583</v>
      </c>
    </row>
    <row r="28" spans="1:25" x14ac:dyDescent="0.3">
      <c r="A28">
        <v>23</v>
      </c>
      <c r="B28">
        <v>37.1</v>
      </c>
      <c r="C28">
        <v>33.6</v>
      </c>
      <c r="D28" s="7">
        <f t="shared" si="0"/>
        <v>1.1041666666666667</v>
      </c>
      <c r="E28">
        <v>23</v>
      </c>
      <c r="F28">
        <v>26.7</v>
      </c>
      <c r="G28">
        <v>25.5</v>
      </c>
      <c r="H28" s="7">
        <f t="shared" si="1"/>
        <v>1.0470588235294118</v>
      </c>
      <c r="I28">
        <v>23</v>
      </c>
      <c r="J28">
        <v>30.8</v>
      </c>
      <c r="K28">
        <v>28.1</v>
      </c>
      <c r="L28" s="7">
        <f t="shared" si="2"/>
        <v>1.0960854092526691</v>
      </c>
      <c r="N28">
        <v>23</v>
      </c>
      <c r="O28">
        <v>32.799999999999997</v>
      </c>
      <c r="P28">
        <v>32.4</v>
      </c>
      <c r="Q28" s="7">
        <f t="shared" si="3"/>
        <v>1.0123456790123457</v>
      </c>
      <c r="R28">
        <v>23</v>
      </c>
      <c r="S28">
        <v>32.6</v>
      </c>
      <c r="T28">
        <v>30.2</v>
      </c>
      <c r="U28" s="7">
        <f t="shared" si="4"/>
        <v>1.0794701986754967</v>
      </c>
      <c r="V28">
        <v>23</v>
      </c>
      <c r="W28">
        <v>28.9</v>
      </c>
      <c r="X28">
        <v>29.6</v>
      </c>
      <c r="Y28" s="7">
        <f t="shared" si="5"/>
        <v>0.9763513513513512</v>
      </c>
    </row>
    <row r="29" spans="1:25" x14ac:dyDescent="0.3">
      <c r="A29">
        <v>24</v>
      </c>
      <c r="B29">
        <v>31.1</v>
      </c>
      <c r="C29">
        <v>28.4</v>
      </c>
      <c r="D29" s="7">
        <f t="shared" si="0"/>
        <v>1.0950704225352115</v>
      </c>
      <c r="E29">
        <v>24</v>
      </c>
      <c r="F29">
        <v>31.5</v>
      </c>
      <c r="G29">
        <v>29.8</v>
      </c>
      <c r="H29" s="7">
        <f t="shared" si="1"/>
        <v>1.0570469798657718</v>
      </c>
      <c r="I29">
        <v>24</v>
      </c>
      <c r="J29">
        <v>30.2</v>
      </c>
      <c r="K29">
        <v>28.2</v>
      </c>
      <c r="L29" s="7">
        <f t="shared" si="2"/>
        <v>1.0709219858156029</v>
      </c>
      <c r="N29">
        <v>24</v>
      </c>
      <c r="O29">
        <v>32.299999999999997</v>
      </c>
      <c r="P29">
        <v>30.9</v>
      </c>
      <c r="Q29" s="7">
        <f t="shared" si="3"/>
        <v>1.0453074433656957</v>
      </c>
      <c r="R29">
        <v>24</v>
      </c>
      <c r="S29">
        <v>39.5</v>
      </c>
      <c r="T29">
        <v>33.299999999999997</v>
      </c>
      <c r="U29" s="7">
        <f t="shared" si="4"/>
        <v>1.1861861861861862</v>
      </c>
      <c r="V29">
        <v>24</v>
      </c>
      <c r="W29">
        <v>35.299999999999997</v>
      </c>
      <c r="X29">
        <v>33.200000000000003</v>
      </c>
      <c r="Y29" s="7">
        <f t="shared" si="5"/>
        <v>1.0632530120481927</v>
      </c>
    </row>
    <row r="30" spans="1:25" x14ac:dyDescent="0.3">
      <c r="A30">
        <v>25</v>
      </c>
      <c r="B30">
        <v>37.799999999999997</v>
      </c>
      <c r="C30">
        <v>35</v>
      </c>
      <c r="D30" s="7">
        <f t="shared" si="0"/>
        <v>1.0799999999999998</v>
      </c>
      <c r="E30">
        <v>25</v>
      </c>
      <c r="F30">
        <v>28.4</v>
      </c>
      <c r="G30">
        <v>26.6</v>
      </c>
      <c r="H30" s="7">
        <f t="shared" si="1"/>
        <v>1.0676691729323307</v>
      </c>
      <c r="I30">
        <v>25</v>
      </c>
      <c r="J30">
        <v>33.299999999999997</v>
      </c>
      <c r="K30">
        <v>30</v>
      </c>
      <c r="L30" s="7">
        <f t="shared" si="2"/>
        <v>1.1099999999999999</v>
      </c>
      <c r="N30">
        <v>25</v>
      </c>
      <c r="O30">
        <v>35.200000000000003</v>
      </c>
      <c r="P30">
        <v>32.6</v>
      </c>
      <c r="Q30" s="7">
        <f t="shared" si="3"/>
        <v>1.0797546012269938</v>
      </c>
      <c r="R30">
        <v>25</v>
      </c>
      <c r="S30">
        <v>29.6</v>
      </c>
      <c r="T30">
        <v>31.5</v>
      </c>
      <c r="U30" s="7">
        <f t="shared" si="4"/>
        <v>0.93968253968253967</v>
      </c>
      <c r="V30">
        <v>25</v>
      </c>
      <c r="W30">
        <v>33.5</v>
      </c>
      <c r="X30">
        <v>31.7</v>
      </c>
      <c r="Y30" s="7">
        <f t="shared" si="5"/>
        <v>1.0567823343848581</v>
      </c>
    </row>
    <row r="31" spans="1:25" x14ac:dyDescent="0.3">
      <c r="A31">
        <v>26</v>
      </c>
      <c r="B31">
        <v>31.4</v>
      </c>
      <c r="C31">
        <v>29.4</v>
      </c>
      <c r="D31" s="7">
        <f t="shared" si="0"/>
        <v>1.0680272108843538</v>
      </c>
      <c r="E31">
        <v>26</v>
      </c>
      <c r="F31">
        <v>36.799999999999997</v>
      </c>
      <c r="G31">
        <v>34.4</v>
      </c>
      <c r="H31" s="7">
        <f t="shared" si="1"/>
        <v>1.069767441860465</v>
      </c>
      <c r="I31">
        <v>26</v>
      </c>
      <c r="J31">
        <v>30.6</v>
      </c>
      <c r="K31">
        <v>28.4</v>
      </c>
      <c r="L31" s="7">
        <f t="shared" si="2"/>
        <v>1.0774647887323945</v>
      </c>
      <c r="N31">
        <v>26</v>
      </c>
      <c r="O31">
        <v>33.799999999999997</v>
      </c>
      <c r="P31">
        <v>32</v>
      </c>
      <c r="Q31" s="7">
        <f t="shared" si="3"/>
        <v>1.0562499999999999</v>
      </c>
      <c r="R31">
        <v>26</v>
      </c>
      <c r="S31">
        <v>31.9</v>
      </c>
      <c r="T31">
        <v>31.1</v>
      </c>
      <c r="U31" s="7">
        <f t="shared" si="4"/>
        <v>1.0257234726688103</v>
      </c>
      <c r="V31">
        <v>26</v>
      </c>
      <c r="W31">
        <v>35.6</v>
      </c>
      <c r="X31">
        <v>33.9</v>
      </c>
      <c r="Y31" s="7">
        <f t="shared" si="5"/>
        <v>1.0501474926253689</v>
      </c>
    </row>
    <row r="32" spans="1:25" x14ac:dyDescent="0.3">
      <c r="A32">
        <v>27</v>
      </c>
      <c r="B32">
        <v>28.1</v>
      </c>
      <c r="C32">
        <v>27.1</v>
      </c>
      <c r="D32" s="7">
        <f t="shared" si="0"/>
        <v>1.03690036900369</v>
      </c>
      <c r="E32">
        <v>27</v>
      </c>
      <c r="F32">
        <v>24.4</v>
      </c>
      <c r="G32">
        <v>23</v>
      </c>
      <c r="H32" s="7">
        <f t="shared" si="1"/>
        <v>1.0608695652173912</v>
      </c>
      <c r="I32">
        <v>27</v>
      </c>
      <c r="J32">
        <v>36.700000000000003</v>
      </c>
      <c r="K32">
        <v>34</v>
      </c>
      <c r="L32" s="7">
        <f t="shared" si="2"/>
        <v>1.0794117647058825</v>
      </c>
      <c r="N32">
        <v>27</v>
      </c>
      <c r="O32">
        <v>34.700000000000003</v>
      </c>
      <c r="P32">
        <v>35</v>
      </c>
      <c r="Q32" s="7">
        <f t="shared" si="3"/>
        <v>0.99142857142857155</v>
      </c>
      <c r="R32">
        <v>27</v>
      </c>
      <c r="S32">
        <v>34.200000000000003</v>
      </c>
      <c r="T32">
        <v>32.700000000000003</v>
      </c>
      <c r="U32" s="7">
        <f t="shared" si="4"/>
        <v>1.0458715596330275</v>
      </c>
      <c r="V32">
        <v>27</v>
      </c>
      <c r="W32">
        <v>32</v>
      </c>
      <c r="X32">
        <v>30.1</v>
      </c>
      <c r="Y32" s="7">
        <f t="shared" si="5"/>
        <v>1.0631229235880397</v>
      </c>
    </row>
    <row r="33" spans="1:25" x14ac:dyDescent="0.3">
      <c r="A33">
        <v>28</v>
      </c>
      <c r="B33">
        <v>30.2</v>
      </c>
      <c r="C33">
        <v>28.2</v>
      </c>
      <c r="D33" s="7">
        <f t="shared" si="0"/>
        <v>1.0709219858156029</v>
      </c>
      <c r="E33">
        <v>28</v>
      </c>
      <c r="F33">
        <v>29.6</v>
      </c>
      <c r="G33">
        <v>28.9</v>
      </c>
      <c r="H33" s="7">
        <f t="shared" si="1"/>
        <v>1.0242214532871974</v>
      </c>
      <c r="I33">
        <v>28</v>
      </c>
      <c r="J33">
        <v>43.8</v>
      </c>
      <c r="K33">
        <v>40.1</v>
      </c>
      <c r="L33" s="7">
        <f t="shared" si="2"/>
        <v>1.0922693266832917</v>
      </c>
      <c r="N33">
        <v>28</v>
      </c>
      <c r="O33">
        <v>37.299999999999997</v>
      </c>
      <c r="P33">
        <v>36.799999999999997</v>
      </c>
      <c r="Q33" s="7">
        <f t="shared" si="3"/>
        <v>1.013586956521739</v>
      </c>
      <c r="R33">
        <v>28</v>
      </c>
      <c r="S33">
        <v>41.4</v>
      </c>
      <c r="T33">
        <v>36.700000000000003</v>
      </c>
      <c r="U33" s="7">
        <f t="shared" si="4"/>
        <v>1.1280653950953676</v>
      </c>
      <c r="V33">
        <v>28</v>
      </c>
      <c r="W33">
        <v>40.799999999999997</v>
      </c>
      <c r="X33">
        <v>37.700000000000003</v>
      </c>
      <c r="Y33" s="7">
        <f t="shared" si="5"/>
        <v>1.0822281167108752</v>
      </c>
    </row>
    <row r="34" spans="1:25" x14ac:dyDescent="0.3">
      <c r="A34">
        <v>29</v>
      </c>
      <c r="B34">
        <v>30.8</v>
      </c>
      <c r="C34">
        <v>26.9</v>
      </c>
      <c r="D34" s="7">
        <f t="shared" si="0"/>
        <v>1.1449814126394053</v>
      </c>
      <c r="E34">
        <v>29</v>
      </c>
      <c r="F34">
        <v>38.1</v>
      </c>
      <c r="G34">
        <v>33.799999999999997</v>
      </c>
      <c r="H34" s="7">
        <f t="shared" si="1"/>
        <v>1.1272189349112427</v>
      </c>
      <c r="I34">
        <v>29</v>
      </c>
      <c r="J34">
        <v>31.2</v>
      </c>
      <c r="K34">
        <v>28.4</v>
      </c>
      <c r="L34" s="7">
        <f t="shared" si="2"/>
        <v>1.0985915492957747</v>
      </c>
      <c r="N34">
        <v>29</v>
      </c>
      <c r="O34">
        <v>31.5</v>
      </c>
      <c r="P34">
        <v>32.299999999999997</v>
      </c>
      <c r="Q34" s="7">
        <f t="shared" si="3"/>
        <v>0.97523219814241491</v>
      </c>
      <c r="R34">
        <v>29</v>
      </c>
      <c r="S34">
        <v>31.1</v>
      </c>
      <c r="T34">
        <v>30.9</v>
      </c>
      <c r="U34" s="7">
        <f t="shared" si="4"/>
        <v>1.0064724919093853</v>
      </c>
      <c r="V34">
        <v>29</v>
      </c>
      <c r="W34">
        <v>28.7</v>
      </c>
      <c r="X34">
        <v>28.3</v>
      </c>
      <c r="Y34" s="7">
        <f t="shared" si="5"/>
        <v>1.0141342756183744</v>
      </c>
    </row>
    <row r="35" spans="1:25" x14ac:dyDescent="0.3">
      <c r="A35">
        <v>30</v>
      </c>
      <c r="B35">
        <v>34.6</v>
      </c>
      <c r="C35">
        <v>31.6</v>
      </c>
      <c r="D35" s="7">
        <f t="shared" si="0"/>
        <v>1.0949367088607596</v>
      </c>
      <c r="E35">
        <v>30</v>
      </c>
      <c r="F35">
        <v>37.200000000000003</v>
      </c>
      <c r="G35">
        <v>33.700000000000003</v>
      </c>
      <c r="H35" s="7">
        <f t="shared" si="1"/>
        <v>1.1038575667655786</v>
      </c>
      <c r="I35">
        <v>30</v>
      </c>
      <c r="J35">
        <v>29.8</v>
      </c>
      <c r="K35">
        <v>27.6</v>
      </c>
      <c r="L35" s="7">
        <f t="shared" si="2"/>
        <v>1.0797101449275361</v>
      </c>
      <c r="N35">
        <v>30</v>
      </c>
      <c r="O35">
        <v>35.1</v>
      </c>
      <c r="P35">
        <v>31.6</v>
      </c>
      <c r="Q35" s="7">
        <f t="shared" si="3"/>
        <v>1.110759493670886</v>
      </c>
      <c r="R35">
        <v>30</v>
      </c>
      <c r="S35">
        <v>38.5</v>
      </c>
      <c r="T35">
        <v>34.299999999999997</v>
      </c>
      <c r="U35" s="7">
        <f t="shared" si="4"/>
        <v>1.1224489795918369</v>
      </c>
      <c r="V35">
        <v>30</v>
      </c>
      <c r="W35">
        <v>31.1</v>
      </c>
      <c r="X35">
        <v>30.4</v>
      </c>
      <c r="Y35" s="7">
        <f t="shared" si="5"/>
        <v>1.0230263157894737</v>
      </c>
    </row>
    <row r="37" spans="1:25" x14ac:dyDescent="0.3">
      <c r="A37" s="23" t="s">
        <v>20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N37" s="23" t="s">
        <v>21</v>
      </c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9" spans="1:25" x14ac:dyDescent="0.3">
      <c r="A39" s="6" t="s">
        <v>3</v>
      </c>
      <c r="E39" s="6" t="s">
        <v>2</v>
      </c>
      <c r="I39" s="6" t="s">
        <v>0</v>
      </c>
      <c r="N39" s="6" t="s">
        <v>3</v>
      </c>
      <c r="R39" s="6" t="s">
        <v>2</v>
      </c>
      <c r="V39" s="6" t="s">
        <v>0</v>
      </c>
    </row>
    <row r="41" spans="1:25" x14ac:dyDescent="0.3">
      <c r="A41" t="s">
        <v>16</v>
      </c>
      <c r="B41" t="s">
        <v>17</v>
      </c>
      <c r="C41" t="s">
        <v>18</v>
      </c>
      <c r="D41" t="s">
        <v>19</v>
      </c>
      <c r="E41" t="s">
        <v>16</v>
      </c>
      <c r="F41" t="s">
        <v>17</v>
      </c>
      <c r="G41" t="s">
        <v>18</v>
      </c>
      <c r="H41" t="s">
        <v>19</v>
      </c>
      <c r="I41" t="s">
        <v>16</v>
      </c>
      <c r="J41" t="s">
        <v>17</v>
      </c>
      <c r="K41" t="s">
        <v>18</v>
      </c>
      <c r="L41" t="s">
        <v>19</v>
      </c>
      <c r="N41" t="s">
        <v>16</v>
      </c>
      <c r="O41" t="s">
        <v>17</v>
      </c>
      <c r="P41" t="s">
        <v>18</v>
      </c>
      <c r="Q41" t="s">
        <v>19</v>
      </c>
      <c r="R41" t="s">
        <v>16</v>
      </c>
      <c r="S41" t="s">
        <v>17</v>
      </c>
      <c r="T41" t="s">
        <v>18</v>
      </c>
      <c r="U41" t="s">
        <v>19</v>
      </c>
      <c r="V41" t="s">
        <v>16</v>
      </c>
      <c r="W41" t="s">
        <v>17</v>
      </c>
      <c r="X41" t="s">
        <v>18</v>
      </c>
      <c r="Y41" t="s">
        <v>19</v>
      </c>
    </row>
    <row r="42" spans="1:25" x14ac:dyDescent="0.3">
      <c r="A42">
        <v>1</v>
      </c>
      <c r="B42">
        <v>30.7</v>
      </c>
      <c r="C42">
        <v>29</v>
      </c>
      <c r="D42" s="7">
        <f>B42/C42</f>
        <v>1.0586206896551724</v>
      </c>
      <c r="E42">
        <v>1</v>
      </c>
      <c r="F42">
        <v>33.1</v>
      </c>
      <c r="G42">
        <v>30</v>
      </c>
      <c r="H42" s="7">
        <f>F42/G42</f>
        <v>1.1033333333333333</v>
      </c>
      <c r="I42">
        <v>1</v>
      </c>
      <c r="J42">
        <v>30.1</v>
      </c>
      <c r="K42">
        <v>28.2</v>
      </c>
      <c r="L42" s="7">
        <f>J42/K42</f>
        <v>1.0673758865248228</v>
      </c>
      <c r="N42">
        <v>1</v>
      </c>
      <c r="O42">
        <v>29.9</v>
      </c>
      <c r="P42">
        <v>28.7</v>
      </c>
      <c r="Q42" s="7">
        <f>O42/P42</f>
        <v>1.0418118466898953</v>
      </c>
      <c r="R42">
        <v>1</v>
      </c>
      <c r="S42">
        <v>39.299999999999997</v>
      </c>
      <c r="T42" s="2">
        <v>39.799999999999997</v>
      </c>
      <c r="U42" s="7">
        <f>S42/T42</f>
        <v>0.98743718592964824</v>
      </c>
      <c r="V42">
        <v>1</v>
      </c>
      <c r="W42">
        <v>38.799999999999997</v>
      </c>
      <c r="X42">
        <v>36.6</v>
      </c>
      <c r="Y42" s="7">
        <f>W42/X42</f>
        <v>1.0601092896174862</v>
      </c>
    </row>
    <row r="43" spans="1:25" x14ac:dyDescent="0.3">
      <c r="A43">
        <v>2</v>
      </c>
      <c r="B43">
        <v>37.799999999999997</v>
      </c>
      <c r="C43">
        <v>35.6</v>
      </c>
      <c r="D43" s="7">
        <f t="shared" ref="D43:D71" si="6">B43/C43</f>
        <v>1.0617977528089886</v>
      </c>
      <c r="E43">
        <v>2</v>
      </c>
      <c r="F43">
        <v>32.4</v>
      </c>
      <c r="G43">
        <v>27</v>
      </c>
      <c r="H43" s="7">
        <f t="shared" ref="H43:H71" si="7">F43/G43</f>
        <v>1.2</v>
      </c>
      <c r="I43">
        <v>2</v>
      </c>
      <c r="J43">
        <v>36.799999999999997</v>
      </c>
      <c r="K43">
        <v>34.9</v>
      </c>
      <c r="L43" s="7">
        <f t="shared" ref="L43:L71" si="8">J43/K43</f>
        <v>1.0544412607449856</v>
      </c>
      <c r="N43">
        <v>2</v>
      </c>
      <c r="O43">
        <v>30.8</v>
      </c>
      <c r="P43">
        <v>27.4</v>
      </c>
      <c r="Q43" s="7">
        <f t="shared" ref="Q43:Q71" si="9">O43/P43</f>
        <v>1.1240875912408761</v>
      </c>
      <c r="R43">
        <v>2</v>
      </c>
      <c r="S43">
        <v>33.5</v>
      </c>
      <c r="T43" s="2">
        <v>31.2</v>
      </c>
      <c r="U43" s="7">
        <f t="shared" ref="U43:U71" si="10">S43/T43</f>
        <v>1.0737179487179487</v>
      </c>
      <c r="V43">
        <v>2</v>
      </c>
      <c r="W43">
        <v>39.9</v>
      </c>
      <c r="X43">
        <v>39.6</v>
      </c>
      <c r="Y43" s="7">
        <f t="shared" ref="Y43:Y71" si="11">W43/X43</f>
        <v>1.0075757575757576</v>
      </c>
    </row>
    <row r="44" spans="1:25" x14ac:dyDescent="0.3">
      <c r="A44">
        <v>3</v>
      </c>
      <c r="B44">
        <v>28.8</v>
      </c>
      <c r="C44">
        <v>27.3</v>
      </c>
      <c r="D44" s="7">
        <f t="shared" si="6"/>
        <v>1.054945054945055</v>
      </c>
      <c r="E44">
        <v>3</v>
      </c>
      <c r="F44">
        <v>35.799999999999997</v>
      </c>
      <c r="G44">
        <v>33.1</v>
      </c>
      <c r="H44" s="7">
        <f t="shared" si="7"/>
        <v>1.0815709969788518</v>
      </c>
      <c r="I44">
        <v>3</v>
      </c>
      <c r="J44">
        <v>30.3</v>
      </c>
      <c r="K44">
        <v>27.2</v>
      </c>
      <c r="L44" s="7">
        <f t="shared" si="8"/>
        <v>1.1139705882352942</v>
      </c>
      <c r="N44">
        <v>3</v>
      </c>
      <c r="O44">
        <v>34.9</v>
      </c>
      <c r="P44">
        <v>33.5</v>
      </c>
      <c r="Q44" s="7">
        <f t="shared" si="9"/>
        <v>1.0417910447761194</v>
      </c>
      <c r="R44">
        <v>3</v>
      </c>
      <c r="S44">
        <v>32.6</v>
      </c>
      <c r="T44" s="2">
        <v>28.6</v>
      </c>
      <c r="U44" s="7">
        <f t="shared" si="10"/>
        <v>1.1398601398601398</v>
      </c>
      <c r="V44">
        <v>3</v>
      </c>
      <c r="W44">
        <v>35.9</v>
      </c>
      <c r="X44">
        <v>34</v>
      </c>
      <c r="Y44" s="7">
        <f t="shared" si="11"/>
        <v>1.0558823529411765</v>
      </c>
    </row>
    <row r="45" spans="1:25" x14ac:dyDescent="0.3">
      <c r="A45">
        <v>4</v>
      </c>
      <c r="B45">
        <v>35.299999999999997</v>
      </c>
      <c r="C45">
        <v>33.6</v>
      </c>
      <c r="D45" s="7">
        <f t="shared" si="6"/>
        <v>1.0505952380952379</v>
      </c>
      <c r="E45">
        <v>4</v>
      </c>
      <c r="F45">
        <v>31.6</v>
      </c>
      <c r="G45">
        <v>30.8</v>
      </c>
      <c r="H45" s="7">
        <f t="shared" si="7"/>
        <v>1.025974025974026</v>
      </c>
      <c r="I45">
        <v>4</v>
      </c>
      <c r="J45">
        <v>37</v>
      </c>
      <c r="K45">
        <v>30.8</v>
      </c>
      <c r="L45" s="7">
        <f t="shared" si="8"/>
        <v>1.2012987012987013</v>
      </c>
      <c r="N45">
        <v>4</v>
      </c>
      <c r="O45">
        <v>32.9</v>
      </c>
      <c r="P45">
        <v>29.4</v>
      </c>
      <c r="Q45" s="7">
        <f t="shared" si="9"/>
        <v>1.1190476190476191</v>
      </c>
      <c r="R45">
        <v>4</v>
      </c>
      <c r="S45">
        <v>38.200000000000003</v>
      </c>
      <c r="T45" s="2">
        <v>36.6</v>
      </c>
      <c r="U45" s="7">
        <f t="shared" si="10"/>
        <v>1.0437158469945356</v>
      </c>
      <c r="V45">
        <v>4</v>
      </c>
      <c r="W45">
        <v>36</v>
      </c>
      <c r="X45">
        <v>34.200000000000003</v>
      </c>
      <c r="Y45" s="7">
        <f t="shared" si="11"/>
        <v>1.0526315789473684</v>
      </c>
    </row>
    <row r="46" spans="1:25" x14ac:dyDescent="0.3">
      <c r="A46">
        <v>5</v>
      </c>
      <c r="B46">
        <v>33.6</v>
      </c>
      <c r="C46">
        <v>30.2</v>
      </c>
      <c r="D46" s="7">
        <f t="shared" si="6"/>
        <v>1.1125827814569538</v>
      </c>
      <c r="E46">
        <v>5</v>
      </c>
      <c r="F46">
        <v>33.4</v>
      </c>
      <c r="G46">
        <v>30.3</v>
      </c>
      <c r="H46" s="7">
        <f t="shared" si="7"/>
        <v>1.1023102310231023</v>
      </c>
      <c r="I46">
        <v>5</v>
      </c>
      <c r="J46">
        <v>27.5</v>
      </c>
      <c r="K46">
        <v>26.6</v>
      </c>
      <c r="L46" s="7">
        <f t="shared" si="8"/>
        <v>1.0338345864661653</v>
      </c>
      <c r="N46">
        <v>5</v>
      </c>
      <c r="O46">
        <v>36.799999999999997</v>
      </c>
      <c r="P46">
        <v>35.1</v>
      </c>
      <c r="Q46" s="7">
        <f t="shared" si="9"/>
        <v>1.0484330484330484</v>
      </c>
      <c r="R46">
        <v>5</v>
      </c>
      <c r="S46">
        <v>34.299999999999997</v>
      </c>
      <c r="T46" s="2">
        <v>32.4</v>
      </c>
      <c r="U46" s="7">
        <f t="shared" si="10"/>
        <v>1.058641975308642</v>
      </c>
      <c r="V46">
        <v>5</v>
      </c>
      <c r="W46">
        <v>32.1</v>
      </c>
      <c r="X46">
        <v>29.1</v>
      </c>
      <c r="Y46" s="7">
        <f t="shared" si="11"/>
        <v>1.1030927835051547</v>
      </c>
    </row>
    <row r="47" spans="1:25" x14ac:dyDescent="0.3">
      <c r="A47">
        <v>6</v>
      </c>
      <c r="B47">
        <v>30.4</v>
      </c>
      <c r="C47">
        <v>28.9</v>
      </c>
      <c r="D47" s="7">
        <f t="shared" si="6"/>
        <v>1.0519031141868511</v>
      </c>
      <c r="E47">
        <v>6</v>
      </c>
      <c r="F47">
        <v>31.7</v>
      </c>
      <c r="G47">
        <v>29.7</v>
      </c>
      <c r="H47" s="7">
        <f t="shared" si="7"/>
        <v>1.0673400673400673</v>
      </c>
      <c r="I47">
        <v>6</v>
      </c>
      <c r="J47">
        <v>38.4</v>
      </c>
      <c r="K47">
        <v>35.1</v>
      </c>
      <c r="L47" s="7">
        <f t="shared" si="8"/>
        <v>1.0940170940170939</v>
      </c>
      <c r="N47">
        <v>6</v>
      </c>
      <c r="O47">
        <v>28.4</v>
      </c>
      <c r="P47">
        <v>26.1</v>
      </c>
      <c r="Q47" s="7">
        <f t="shared" si="9"/>
        <v>1.0881226053639845</v>
      </c>
      <c r="R47">
        <v>6</v>
      </c>
      <c r="S47">
        <v>33.9</v>
      </c>
      <c r="T47" s="2">
        <v>30.8</v>
      </c>
      <c r="U47" s="7">
        <f t="shared" si="10"/>
        <v>1.1006493506493507</v>
      </c>
      <c r="V47">
        <v>6</v>
      </c>
      <c r="W47">
        <v>36.4</v>
      </c>
      <c r="X47">
        <v>35.200000000000003</v>
      </c>
      <c r="Y47" s="7">
        <f t="shared" si="11"/>
        <v>1.0340909090909089</v>
      </c>
    </row>
    <row r="48" spans="1:25" x14ac:dyDescent="0.3">
      <c r="A48">
        <v>7</v>
      </c>
      <c r="B48">
        <v>28.2</v>
      </c>
      <c r="C48">
        <v>27</v>
      </c>
      <c r="D48" s="7">
        <f t="shared" si="6"/>
        <v>1.0444444444444445</v>
      </c>
      <c r="E48">
        <v>7</v>
      </c>
      <c r="F48">
        <v>30</v>
      </c>
      <c r="G48">
        <v>27</v>
      </c>
      <c r="H48" s="7">
        <f t="shared" si="7"/>
        <v>1.1111111111111112</v>
      </c>
      <c r="I48">
        <v>7</v>
      </c>
      <c r="J48">
        <v>35.4</v>
      </c>
      <c r="K48">
        <v>32.200000000000003</v>
      </c>
      <c r="L48" s="7">
        <f t="shared" si="8"/>
        <v>1.0993788819875776</v>
      </c>
      <c r="N48">
        <v>7</v>
      </c>
      <c r="O48">
        <v>29.3</v>
      </c>
      <c r="P48">
        <v>27.6</v>
      </c>
      <c r="Q48" s="7">
        <f t="shared" si="9"/>
        <v>1.0615942028985508</v>
      </c>
      <c r="R48">
        <v>7</v>
      </c>
      <c r="S48">
        <v>39.299999999999997</v>
      </c>
      <c r="T48" s="2">
        <v>39.6</v>
      </c>
      <c r="U48" s="7">
        <f t="shared" si="10"/>
        <v>0.99242424242424232</v>
      </c>
      <c r="V48">
        <v>7</v>
      </c>
      <c r="W48">
        <v>39.9</v>
      </c>
      <c r="X48">
        <v>37.1</v>
      </c>
      <c r="Y48" s="7">
        <f t="shared" si="11"/>
        <v>1.0754716981132075</v>
      </c>
    </row>
    <row r="49" spans="1:25" x14ac:dyDescent="0.3">
      <c r="A49">
        <v>8</v>
      </c>
      <c r="B49">
        <v>35.5</v>
      </c>
      <c r="C49">
        <v>34.6</v>
      </c>
      <c r="D49" s="7">
        <f t="shared" si="6"/>
        <v>1.0260115606936415</v>
      </c>
      <c r="E49">
        <v>8</v>
      </c>
      <c r="F49">
        <v>35</v>
      </c>
      <c r="G49">
        <v>33.1</v>
      </c>
      <c r="H49" s="7">
        <f t="shared" si="7"/>
        <v>1.0574018126888216</v>
      </c>
      <c r="I49">
        <v>8</v>
      </c>
      <c r="J49">
        <v>27.9</v>
      </c>
      <c r="K49">
        <v>27.2</v>
      </c>
      <c r="L49" s="7">
        <f t="shared" si="8"/>
        <v>1.025735294117647</v>
      </c>
      <c r="N49">
        <v>8</v>
      </c>
      <c r="O49">
        <v>37.9</v>
      </c>
      <c r="P49">
        <v>38.299999999999997</v>
      </c>
      <c r="Q49" s="7">
        <f t="shared" si="9"/>
        <v>0.98955613577023505</v>
      </c>
      <c r="R49">
        <v>8</v>
      </c>
      <c r="S49">
        <v>27.3</v>
      </c>
      <c r="T49" s="2">
        <v>27.7</v>
      </c>
      <c r="U49" s="7">
        <f t="shared" si="10"/>
        <v>0.98555956678700363</v>
      </c>
      <c r="V49">
        <v>8</v>
      </c>
      <c r="W49">
        <v>40.9</v>
      </c>
      <c r="X49">
        <v>40</v>
      </c>
      <c r="Y49" s="7">
        <f t="shared" si="11"/>
        <v>1.0225</v>
      </c>
    </row>
    <row r="50" spans="1:25" x14ac:dyDescent="0.3">
      <c r="A50">
        <v>9</v>
      </c>
      <c r="B50">
        <v>30.4</v>
      </c>
      <c r="C50">
        <v>28.3</v>
      </c>
      <c r="D50" s="7">
        <f t="shared" si="6"/>
        <v>1.0742049469964663</v>
      </c>
      <c r="E50">
        <v>9</v>
      </c>
      <c r="F50">
        <v>29.3</v>
      </c>
      <c r="G50">
        <v>26.3</v>
      </c>
      <c r="H50" s="7">
        <f t="shared" si="7"/>
        <v>1.1140684410646389</v>
      </c>
      <c r="I50">
        <v>9</v>
      </c>
      <c r="J50">
        <v>35.1</v>
      </c>
      <c r="K50">
        <v>30.9</v>
      </c>
      <c r="L50" s="7">
        <f t="shared" si="8"/>
        <v>1.1359223300970875</v>
      </c>
      <c r="N50">
        <v>9</v>
      </c>
      <c r="O50">
        <v>29.9</v>
      </c>
      <c r="P50">
        <v>27.7</v>
      </c>
      <c r="Q50" s="7">
        <f t="shared" si="9"/>
        <v>1.0794223826714802</v>
      </c>
      <c r="R50">
        <v>9</v>
      </c>
      <c r="S50">
        <v>32.6</v>
      </c>
      <c r="T50" s="2">
        <v>34.1</v>
      </c>
      <c r="U50" s="7">
        <f t="shared" si="10"/>
        <v>0.95601173020527863</v>
      </c>
      <c r="V50">
        <v>9</v>
      </c>
      <c r="W50">
        <v>36.799999999999997</v>
      </c>
      <c r="X50">
        <v>35.6</v>
      </c>
      <c r="Y50" s="7">
        <f t="shared" si="11"/>
        <v>1.0337078651685392</v>
      </c>
    </row>
    <row r="51" spans="1:25" x14ac:dyDescent="0.3">
      <c r="A51">
        <v>10</v>
      </c>
      <c r="B51">
        <v>30.7</v>
      </c>
      <c r="C51">
        <v>29.4</v>
      </c>
      <c r="D51" s="7">
        <f t="shared" si="6"/>
        <v>1.0442176870748299</v>
      </c>
      <c r="E51">
        <v>10</v>
      </c>
      <c r="F51">
        <v>32.299999999999997</v>
      </c>
      <c r="G51">
        <v>30.6</v>
      </c>
      <c r="H51" s="7">
        <f t="shared" si="7"/>
        <v>1.0555555555555554</v>
      </c>
      <c r="I51">
        <v>10</v>
      </c>
      <c r="J51">
        <v>29.2</v>
      </c>
      <c r="K51">
        <v>28.5</v>
      </c>
      <c r="L51" s="7">
        <f t="shared" si="8"/>
        <v>1.024561403508772</v>
      </c>
      <c r="N51">
        <v>10</v>
      </c>
      <c r="O51">
        <v>35.9</v>
      </c>
      <c r="P51">
        <v>34.200000000000003</v>
      </c>
      <c r="Q51" s="7">
        <f t="shared" si="9"/>
        <v>1.0497076023391811</v>
      </c>
      <c r="R51">
        <v>10</v>
      </c>
      <c r="S51">
        <v>33.1</v>
      </c>
      <c r="T51" s="2">
        <v>31.6</v>
      </c>
      <c r="U51" s="7">
        <f t="shared" si="10"/>
        <v>1.0474683544303798</v>
      </c>
      <c r="V51">
        <v>10</v>
      </c>
      <c r="W51">
        <v>37.299999999999997</v>
      </c>
      <c r="X51">
        <v>34.4</v>
      </c>
      <c r="Y51" s="7">
        <f t="shared" si="11"/>
        <v>1.0843023255813953</v>
      </c>
    </row>
    <row r="52" spans="1:25" x14ac:dyDescent="0.3">
      <c r="A52">
        <v>11</v>
      </c>
      <c r="B52">
        <v>35</v>
      </c>
      <c r="C52">
        <v>28.1</v>
      </c>
      <c r="D52" s="7">
        <f t="shared" si="6"/>
        <v>1.2455516014234875</v>
      </c>
      <c r="E52">
        <v>11</v>
      </c>
      <c r="F52">
        <v>33.5</v>
      </c>
      <c r="G52">
        <v>31.6</v>
      </c>
      <c r="H52" s="7">
        <f t="shared" si="7"/>
        <v>1.0601265822784809</v>
      </c>
      <c r="I52">
        <v>11</v>
      </c>
      <c r="J52">
        <v>27.8</v>
      </c>
      <c r="K52">
        <v>25</v>
      </c>
      <c r="L52" s="7">
        <f t="shared" si="8"/>
        <v>1.1120000000000001</v>
      </c>
      <c r="N52">
        <v>11</v>
      </c>
      <c r="O52">
        <v>31.9</v>
      </c>
      <c r="P52">
        <v>29.6</v>
      </c>
      <c r="Q52" s="7">
        <f t="shared" si="9"/>
        <v>1.0777027027027026</v>
      </c>
      <c r="R52">
        <v>11</v>
      </c>
      <c r="S52">
        <v>31.9</v>
      </c>
      <c r="T52" s="2">
        <v>29.5</v>
      </c>
      <c r="U52" s="7">
        <f t="shared" si="10"/>
        <v>1.0813559322033899</v>
      </c>
      <c r="V52">
        <v>11</v>
      </c>
      <c r="W52">
        <v>36.1</v>
      </c>
      <c r="X52">
        <v>35.299999999999997</v>
      </c>
      <c r="Y52" s="7">
        <f t="shared" si="11"/>
        <v>1.0226628895184138</v>
      </c>
    </row>
    <row r="53" spans="1:25" x14ac:dyDescent="0.3">
      <c r="A53">
        <v>12</v>
      </c>
      <c r="B53">
        <v>27.1</v>
      </c>
      <c r="C53">
        <v>26.8</v>
      </c>
      <c r="D53" s="7">
        <f t="shared" si="6"/>
        <v>1.0111940298507462</v>
      </c>
      <c r="E53">
        <v>12</v>
      </c>
      <c r="F53">
        <v>32.200000000000003</v>
      </c>
      <c r="G53">
        <v>27.3</v>
      </c>
      <c r="H53" s="7">
        <f t="shared" si="7"/>
        <v>1.1794871794871795</v>
      </c>
      <c r="I53">
        <v>12</v>
      </c>
      <c r="J53">
        <v>29.6</v>
      </c>
      <c r="K53">
        <v>23.5</v>
      </c>
      <c r="L53" s="7">
        <f t="shared" si="8"/>
        <v>1.2595744680851064</v>
      </c>
      <c r="N53">
        <v>12</v>
      </c>
      <c r="O53">
        <v>37.9</v>
      </c>
      <c r="P53">
        <v>35.6</v>
      </c>
      <c r="Q53" s="7">
        <f t="shared" si="9"/>
        <v>1.0646067415730336</v>
      </c>
      <c r="R53">
        <v>12</v>
      </c>
      <c r="S53">
        <v>34.6</v>
      </c>
      <c r="T53" s="2">
        <v>31.4</v>
      </c>
      <c r="U53" s="7">
        <f t="shared" si="10"/>
        <v>1.1019108280254779</v>
      </c>
      <c r="V53">
        <v>12</v>
      </c>
      <c r="W53">
        <v>38.1</v>
      </c>
      <c r="X53">
        <v>36.4</v>
      </c>
      <c r="Y53" s="7">
        <f t="shared" si="11"/>
        <v>1.0467032967032968</v>
      </c>
    </row>
    <row r="54" spans="1:25" x14ac:dyDescent="0.3">
      <c r="A54">
        <v>13</v>
      </c>
      <c r="B54">
        <v>32.6</v>
      </c>
      <c r="C54">
        <v>30</v>
      </c>
      <c r="D54" s="7">
        <f t="shared" si="6"/>
        <v>1.0866666666666667</v>
      </c>
      <c r="E54">
        <v>13</v>
      </c>
      <c r="F54">
        <v>29.7</v>
      </c>
      <c r="G54">
        <v>27.7</v>
      </c>
      <c r="H54" s="7">
        <f t="shared" si="7"/>
        <v>1.0722021660649819</v>
      </c>
      <c r="I54">
        <v>13</v>
      </c>
      <c r="J54">
        <v>31.1</v>
      </c>
      <c r="K54">
        <v>27.6</v>
      </c>
      <c r="L54" s="7">
        <f t="shared" si="8"/>
        <v>1.1268115942028984</v>
      </c>
      <c r="N54">
        <v>13</v>
      </c>
      <c r="O54">
        <v>34.6</v>
      </c>
      <c r="P54">
        <v>35.4</v>
      </c>
      <c r="Q54" s="7">
        <f t="shared" si="9"/>
        <v>0.97740112994350292</v>
      </c>
      <c r="R54">
        <v>13</v>
      </c>
      <c r="S54">
        <v>33.799999999999997</v>
      </c>
      <c r="T54" s="2">
        <v>31.5</v>
      </c>
      <c r="U54" s="7">
        <f t="shared" si="10"/>
        <v>1.073015873015873</v>
      </c>
      <c r="V54">
        <v>13</v>
      </c>
      <c r="W54">
        <v>29.7</v>
      </c>
      <c r="X54">
        <v>28.4</v>
      </c>
      <c r="Y54" s="7">
        <f t="shared" si="11"/>
        <v>1.045774647887324</v>
      </c>
    </row>
    <row r="55" spans="1:25" x14ac:dyDescent="0.3">
      <c r="A55">
        <v>14</v>
      </c>
      <c r="B55">
        <v>30.2</v>
      </c>
      <c r="C55">
        <v>29.3</v>
      </c>
      <c r="D55" s="7">
        <f t="shared" si="6"/>
        <v>1.0307167235494881</v>
      </c>
      <c r="E55">
        <v>14</v>
      </c>
      <c r="F55">
        <v>31.1</v>
      </c>
      <c r="G55">
        <v>27.7</v>
      </c>
      <c r="H55" s="7">
        <f t="shared" si="7"/>
        <v>1.1227436823104695</v>
      </c>
      <c r="I55">
        <v>14</v>
      </c>
      <c r="J55">
        <v>28.3</v>
      </c>
      <c r="K55">
        <v>28.1</v>
      </c>
      <c r="L55" s="7">
        <f t="shared" si="8"/>
        <v>1.0071174377224199</v>
      </c>
      <c r="N55">
        <v>14</v>
      </c>
      <c r="O55">
        <v>35.1</v>
      </c>
      <c r="P55">
        <v>35</v>
      </c>
      <c r="Q55" s="7">
        <f t="shared" si="9"/>
        <v>1.0028571428571429</v>
      </c>
      <c r="R55">
        <v>14</v>
      </c>
      <c r="S55">
        <v>31.3</v>
      </c>
      <c r="T55" s="2">
        <v>31.9</v>
      </c>
      <c r="U55" s="7">
        <f t="shared" si="10"/>
        <v>0.98119122257053293</v>
      </c>
      <c r="V55">
        <v>14</v>
      </c>
      <c r="W55">
        <v>33.9</v>
      </c>
      <c r="X55">
        <v>31.9</v>
      </c>
      <c r="Y55" s="7">
        <f t="shared" si="11"/>
        <v>1.0626959247648904</v>
      </c>
    </row>
    <row r="56" spans="1:25" x14ac:dyDescent="0.3">
      <c r="A56">
        <v>15</v>
      </c>
      <c r="B56">
        <v>26.5</v>
      </c>
      <c r="C56">
        <v>25.6</v>
      </c>
      <c r="D56" s="7">
        <f t="shared" si="6"/>
        <v>1.03515625</v>
      </c>
      <c r="E56">
        <v>15</v>
      </c>
      <c r="F56">
        <v>35.5</v>
      </c>
      <c r="G56">
        <v>30.2</v>
      </c>
      <c r="H56" s="7">
        <f t="shared" si="7"/>
        <v>1.175496688741722</v>
      </c>
      <c r="I56">
        <v>15</v>
      </c>
      <c r="J56">
        <v>36</v>
      </c>
      <c r="K56">
        <v>30.8</v>
      </c>
      <c r="L56" s="7">
        <f t="shared" si="8"/>
        <v>1.1688311688311688</v>
      </c>
      <c r="N56">
        <v>15</v>
      </c>
      <c r="O56">
        <v>34.700000000000003</v>
      </c>
      <c r="P56">
        <v>34.9</v>
      </c>
      <c r="Q56" s="7">
        <f t="shared" si="9"/>
        <v>0.99426934097421216</v>
      </c>
      <c r="R56">
        <v>15</v>
      </c>
      <c r="S56">
        <v>41.4</v>
      </c>
      <c r="T56" s="2">
        <v>38.700000000000003</v>
      </c>
      <c r="U56" s="7">
        <f t="shared" si="10"/>
        <v>1.069767441860465</v>
      </c>
      <c r="V56">
        <v>15</v>
      </c>
      <c r="W56">
        <v>31.9</v>
      </c>
      <c r="X56">
        <v>26.2</v>
      </c>
      <c r="Y56" s="7">
        <f t="shared" si="11"/>
        <v>1.217557251908397</v>
      </c>
    </row>
    <row r="57" spans="1:25" x14ac:dyDescent="0.3">
      <c r="A57">
        <v>16</v>
      </c>
      <c r="B57">
        <v>32</v>
      </c>
      <c r="C57">
        <v>31.5</v>
      </c>
      <c r="D57" s="7">
        <f t="shared" si="6"/>
        <v>1.0158730158730158</v>
      </c>
      <c r="E57">
        <v>16</v>
      </c>
      <c r="F57">
        <v>29</v>
      </c>
      <c r="G57">
        <v>25.6</v>
      </c>
      <c r="H57" s="7">
        <f t="shared" si="7"/>
        <v>1.1328125</v>
      </c>
      <c r="I57">
        <v>16</v>
      </c>
      <c r="J57">
        <v>27</v>
      </c>
      <c r="K57">
        <v>26.4</v>
      </c>
      <c r="L57" s="7">
        <f t="shared" si="8"/>
        <v>1.0227272727272727</v>
      </c>
      <c r="N57">
        <v>16</v>
      </c>
      <c r="O57">
        <v>36.1</v>
      </c>
      <c r="P57">
        <v>37.200000000000003</v>
      </c>
      <c r="Q57" s="7">
        <f t="shared" si="9"/>
        <v>0.97043010752688164</v>
      </c>
      <c r="R57">
        <v>16</v>
      </c>
      <c r="S57">
        <v>35.799999999999997</v>
      </c>
      <c r="T57" s="2">
        <v>30.4</v>
      </c>
      <c r="U57" s="7">
        <f t="shared" si="10"/>
        <v>1.1776315789473684</v>
      </c>
      <c r="V57">
        <v>16</v>
      </c>
      <c r="W57">
        <v>35.200000000000003</v>
      </c>
      <c r="X57">
        <v>34.700000000000003</v>
      </c>
      <c r="Y57" s="7">
        <f t="shared" si="11"/>
        <v>1.0144092219020173</v>
      </c>
    </row>
    <row r="58" spans="1:25" x14ac:dyDescent="0.3">
      <c r="A58">
        <v>17</v>
      </c>
      <c r="B58">
        <v>37.299999999999997</v>
      </c>
      <c r="C58">
        <v>32.700000000000003</v>
      </c>
      <c r="D58" s="7">
        <f t="shared" si="6"/>
        <v>1.1406727828746175</v>
      </c>
      <c r="E58">
        <v>17</v>
      </c>
      <c r="F58">
        <v>34</v>
      </c>
      <c r="G58">
        <v>32.1</v>
      </c>
      <c r="H58" s="7">
        <f t="shared" si="7"/>
        <v>1.0591900311526479</v>
      </c>
      <c r="I58">
        <v>17</v>
      </c>
      <c r="J58">
        <v>38.5</v>
      </c>
      <c r="K58">
        <v>35.299999999999997</v>
      </c>
      <c r="L58" s="7">
        <f t="shared" si="8"/>
        <v>1.0906515580736544</v>
      </c>
      <c r="N58">
        <v>17</v>
      </c>
      <c r="O58">
        <v>30.2</v>
      </c>
      <c r="P58">
        <v>28.4</v>
      </c>
      <c r="Q58" s="7">
        <f t="shared" si="9"/>
        <v>1.063380281690141</v>
      </c>
      <c r="R58">
        <v>17</v>
      </c>
      <c r="S58">
        <v>37.9</v>
      </c>
      <c r="T58" s="2">
        <v>37.200000000000003</v>
      </c>
      <c r="U58" s="7">
        <f t="shared" si="10"/>
        <v>1.0188172043010753</v>
      </c>
      <c r="V58">
        <v>17</v>
      </c>
      <c r="W58">
        <v>36</v>
      </c>
      <c r="X58">
        <v>34.9</v>
      </c>
      <c r="Y58" s="7">
        <f t="shared" si="11"/>
        <v>1.0315186246418337</v>
      </c>
    </row>
    <row r="59" spans="1:25" x14ac:dyDescent="0.3">
      <c r="A59">
        <v>18</v>
      </c>
      <c r="B59">
        <v>37.6</v>
      </c>
      <c r="C59">
        <v>33.4</v>
      </c>
      <c r="D59" s="7">
        <f t="shared" si="6"/>
        <v>1.125748502994012</v>
      </c>
      <c r="E59">
        <v>18</v>
      </c>
      <c r="F59">
        <v>37.1</v>
      </c>
      <c r="G59">
        <v>40.9</v>
      </c>
      <c r="H59" s="7">
        <f t="shared" si="7"/>
        <v>0.90709046454767728</v>
      </c>
      <c r="I59">
        <v>18</v>
      </c>
      <c r="J59">
        <v>35.5</v>
      </c>
      <c r="K59">
        <v>29.7</v>
      </c>
      <c r="L59" s="7">
        <f t="shared" si="8"/>
        <v>1.1952861952861953</v>
      </c>
      <c r="N59">
        <v>18</v>
      </c>
      <c r="O59">
        <v>35.4</v>
      </c>
      <c r="P59">
        <v>31.6</v>
      </c>
      <c r="Q59" s="7">
        <f t="shared" si="9"/>
        <v>1.120253164556962</v>
      </c>
      <c r="R59">
        <v>18</v>
      </c>
      <c r="S59">
        <v>35.4</v>
      </c>
      <c r="T59" s="2">
        <v>34</v>
      </c>
      <c r="U59" s="7">
        <f t="shared" si="10"/>
        <v>1.0411764705882351</v>
      </c>
      <c r="V59">
        <v>18</v>
      </c>
      <c r="W59">
        <v>39.799999999999997</v>
      </c>
      <c r="X59">
        <v>37.200000000000003</v>
      </c>
      <c r="Y59" s="7">
        <f t="shared" si="11"/>
        <v>1.0698924731182795</v>
      </c>
    </row>
    <row r="60" spans="1:25" x14ac:dyDescent="0.3">
      <c r="A60">
        <v>19</v>
      </c>
      <c r="B60">
        <v>32</v>
      </c>
      <c r="C60">
        <v>27.9</v>
      </c>
      <c r="D60" s="7">
        <f t="shared" si="6"/>
        <v>1.1469534050179213</v>
      </c>
      <c r="E60">
        <v>19</v>
      </c>
      <c r="F60">
        <v>32.200000000000003</v>
      </c>
      <c r="G60">
        <v>28.9</v>
      </c>
      <c r="H60" s="7">
        <f t="shared" si="7"/>
        <v>1.1141868512110729</v>
      </c>
      <c r="I60">
        <v>19</v>
      </c>
      <c r="J60">
        <v>30.9</v>
      </c>
      <c r="K60">
        <v>27.1</v>
      </c>
      <c r="L60" s="7">
        <f t="shared" si="8"/>
        <v>1.140221402214022</v>
      </c>
      <c r="N60">
        <v>19</v>
      </c>
      <c r="O60">
        <v>38</v>
      </c>
      <c r="P60">
        <v>37.4</v>
      </c>
      <c r="Q60" s="7">
        <f t="shared" si="9"/>
        <v>1.0160427807486632</v>
      </c>
      <c r="R60">
        <v>19</v>
      </c>
      <c r="S60">
        <v>41.4</v>
      </c>
      <c r="T60" s="2">
        <v>38.1</v>
      </c>
      <c r="U60" s="7">
        <f t="shared" si="10"/>
        <v>1.0866141732283463</v>
      </c>
      <c r="V60">
        <v>19</v>
      </c>
      <c r="W60">
        <v>34.4</v>
      </c>
      <c r="X60">
        <v>32.200000000000003</v>
      </c>
      <c r="Y60" s="7">
        <f t="shared" si="11"/>
        <v>1.0683229813664594</v>
      </c>
    </row>
    <row r="61" spans="1:25" x14ac:dyDescent="0.3">
      <c r="A61">
        <v>20</v>
      </c>
      <c r="B61">
        <v>30.7</v>
      </c>
      <c r="C61">
        <v>29.9</v>
      </c>
      <c r="D61" s="7">
        <f t="shared" si="6"/>
        <v>1.0267558528428093</v>
      </c>
      <c r="E61">
        <v>20</v>
      </c>
      <c r="F61">
        <v>30.2</v>
      </c>
      <c r="G61">
        <v>27</v>
      </c>
      <c r="H61" s="7">
        <f t="shared" si="7"/>
        <v>1.1185185185185185</v>
      </c>
      <c r="I61">
        <v>20</v>
      </c>
      <c r="J61">
        <v>27.4</v>
      </c>
      <c r="K61">
        <v>26.2</v>
      </c>
      <c r="L61" s="7">
        <f t="shared" si="8"/>
        <v>1.0458015267175573</v>
      </c>
      <c r="N61">
        <v>20</v>
      </c>
      <c r="O61">
        <v>33.700000000000003</v>
      </c>
      <c r="P61">
        <v>33.5</v>
      </c>
      <c r="Q61" s="7">
        <f t="shared" si="9"/>
        <v>1.0059701492537314</v>
      </c>
      <c r="R61">
        <v>20</v>
      </c>
      <c r="S61">
        <v>31.2</v>
      </c>
      <c r="T61" s="2">
        <v>28.5</v>
      </c>
      <c r="U61" s="7">
        <f t="shared" si="10"/>
        <v>1.0947368421052632</v>
      </c>
      <c r="V61">
        <v>20</v>
      </c>
      <c r="W61">
        <v>33</v>
      </c>
      <c r="X61">
        <v>31.8</v>
      </c>
      <c r="Y61" s="7">
        <f t="shared" si="11"/>
        <v>1.0377358490566038</v>
      </c>
    </row>
    <row r="62" spans="1:25" x14ac:dyDescent="0.3">
      <c r="A62">
        <v>21</v>
      </c>
      <c r="B62">
        <v>33.9</v>
      </c>
      <c r="C62">
        <v>30.2</v>
      </c>
      <c r="D62" s="7">
        <f t="shared" si="6"/>
        <v>1.1225165562913908</v>
      </c>
      <c r="E62">
        <v>21</v>
      </c>
      <c r="F62">
        <v>31.7</v>
      </c>
      <c r="G62">
        <v>26.7</v>
      </c>
      <c r="H62" s="7">
        <f t="shared" si="7"/>
        <v>1.1872659176029963</v>
      </c>
      <c r="I62">
        <v>21</v>
      </c>
      <c r="J62">
        <v>27.9</v>
      </c>
      <c r="K62">
        <v>26.4</v>
      </c>
      <c r="L62" s="7">
        <f t="shared" si="8"/>
        <v>1.0568181818181819</v>
      </c>
      <c r="N62">
        <v>21</v>
      </c>
      <c r="O62">
        <v>30.3</v>
      </c>
      <c r="P62">
        <v>30.2</v>
      </c>
      <c r="Q62" s="7">
        <f t="shared" si="9"/>
        <v>1.0033112582781458</v>
      </c>
      <c r="R62">
        <v>21</v>
      </c>
      <c r="S62">
        <v>34</v>
      </c>
      <c r="T62" s="2">
        <v>30.7</v>
      </c>
      <c r="U62" s="7">
        <f t="shared" si="10"/>
        <v>1.1074918566775245</v>
      </c>
      <c r="V62">
        <v>21</v>
      </c>
      <c r="W62">
        <v>34.299999999999997</v>
      </c>
      <c r="X62">
        <v>33.299999999999997</v>
      </c>
      <c r="Y62" s="7">
        <f t="shared" si="11"/>
        <v>1.03003003003003</v>
      </c>
    </row>
    <row r="63" spans="1:25" x14ac:dyDescent="0.3">
      <c r="A63">
        <v>22</v>
      </c>
      <c r="B63">
        <v>32.6</v>
      </c>
      <c r="C63">
        <v>29.4</v>
      </c>
      <c r="D63" s="7">
        <f t="shared" si="6"/>
        <v>1.1088435374149661</v>
      </c>
      <c r="E63">
        <v>22</v>
      </c>
      <c r="F63">
        <v>31.8</v>
      </c>
      <c r="G63">
        <v>26.9</v>
      </c>
      <c r="H63" s="7">
        <f t="shared" si="7"/>
        <v>1.1821561338289963</v>
      </c>
      <c r="I63">
        <v>22</v>
      </c>
      <c r="J63">
        <v>31.5</v>
      </c>
      <c r="K63">
        <v>29.5</v>
      </c>
      <c r="L63" s="7">
        <f t="shared" si="8"/>
        <v>1.0677966101694916</v>
      </c>
      <c r="N63">
        <v>22</v>
      </c>
      <c r="O63">
        <v>36</v>
      </c>
      <c r="P63">
        <v>34.700000000000003</v>
      </c>
      <c r="Q63" s="7">
        <f t="shared" si="9"/>
        <v>1.0374639769452449</v>
      </c>
      <c r="R63">
        <v>22</v>
      </c>
      <c r="S63">
        <v>33.5</v>
      </c>
      <c r="T63" s="2">
        <v>33.4</v>
      </c>
      <c r="U63" s="7">
        <f t="shared" si="10"/>
        <v>1.0029940119760479</v>
      </c>
      <c r="V63">
        <v>22</v>
      </c>
      <c r="W63">
        <v>37.700000000000003</v>
      </c>
      <c r="X63">
        <v>35.9</v>
      </c>
      <c r="Y63" s="7">
        <f t="shared" si="11"/>
        <v>1.0501392757660168</v>
      </c>
    </row>
    <row r="64" spans="1:25" x14ac:dyDescent="0.3">
      <c r="A64">
        <v>23</v>
      </c>
      <c r="B64">
        <v>26.5</v>
      </c>
      <c r="C64">
        <v>24.5</v>
      </c>
      <c r="D64" s="7">
        <f t="shared" si="6"/>
        <v>1.0816326530612246</v>
      </c>
      <c r="E64">
        <v>23</v>
      </c>
      <c r="F64">
        <v>31.6</v>
      </c>
      <c r="G64">
        <v>26.9</v>
      </c>
      <c r="H64" s="7">
        <f t="shared" si="7"/>
        <v>1.1747211895910781</v>
      </c>
      <c r="I64">
        <v>23</v>
      </c>
      <c r="J64">
        <v>28.7</v>
      </c>
      <c r="K64">
        <v>28.9</v>
      </c>
      <c r="L64" s="7">
        <f t="shared" si="8"/>
        <v>0.99307958477508651</v>
      </c>
      <c r="N64">
        <v>23</v>
      </c>
      <c r="O64">
        <v>34.9</v>
      </c>
      <c r="P64">
        <v>32.5</v>
      </c>
      <c r="Q64" s="7">
        <f t="shared" si="9"/>
        <v>1.0738461538461539</v>
      </c>
      <c r="R64">
        <v>23</v>
      </c>
      <c r="S64">
        <v>37.700000000000003</v>
      </c>
      <c r="T64" s="2">
        <v>38.1</v>
      </c>
      <c r="U64" s="7">
        <f t="shared" si="10"/>
        <v>0.98950131233595806</v>
      </c>
      <c r="V64">
        <v>23</v>
      </c>
      <c r="W64">
        <v>34.200000000000003</v>
      </c>
      <c r="X64">
        <v>33.299999999999997</v>
      </c>
      <c r="Y64" s="7">
        <f t="shared" si="11"/>
        <v>1.0270270270270272</v>
      </c>
    </row>
    <row r="65" spans="1:25" x14ac:dyDescent="0.3">
      <c r="A65">
        <v>24</v>
      </c>
      <c r="B65">
        <v>31.2</v>
      </c>
      <c r="C65">
        <v>27.7</v>
      </c>
      <c r="D65" s="7">
        <f t="shared" si="6"/>
        <v>1.1263537906137184</v>
      </c>
      <c r="E65">
        <v>24</v>
      </c>
      <c r="F65">
        <v>41.2</v>
      </c>
      <c r="G65">
        <v>36.6</v>
      </c>
      <c r="H65" s="7">
        <f t="shared" si="7"/>
        <v>1.1256830601092898</v>
      </c>
      <c r="I65">
        <v>24</v>
      </c>
      <c r="J65">
        <v>26.1</v>
      </c>
      <c r="K65">
        <v>25</v>
      </c>
      <c r="L65" s="7">
        <f t="shared" si="8"/>
        <v>1.044</v>
      </c>
      <c r="N65">
        <v>24</v>
      </c>
      <c r="O65">
        <v>34.299999999999997</v>
      </c>
      <c r="P65">
        <v>31</v>
      </c>
      <c r="Q65" s="7">
        <f t="shared" si="9"/>
        <v>1.1064516129032258</v>
      </c>
      <c r="R65">
        <v>24</v>
      </c>
      <c r="S65">
        <v>37.4</v>
      </c>
      <c r="T65" s="2">
        <v>36.299999999999997</v>
      </c>
      <c r="U65" s="7">
        <f t="shared" si="10"/>
        <v>1.0303030303030303</v>
      </c>
      <c r="V65">
        <v>24</v>
      </c>
      <c r="W65">
        <v>37.4</v>
      </c>
      <c r="X65">
        <v>34</v>
      </c>
      <c r="Y65" s="7">
        <f t="shared" si="11"/>
        <v>1.0999999999999999</v>
      </c>
    </row>
    <row r="66" spans="1:25" x14ac:dyDescent="0.3">
      <c r="A66">
        <v>25</v>
      </c>
      <c r="B66">
        <v>34.6</v>
      </c>
      <c r="C66">
        <v>29.8</v>
      </c>
      <c r="D66" s="7">
        <f t="shared" si="6"/>
        <v>1.1610738255033557</v>
      </c>
      <c r="E66">
        <v>25</v>
      </c>
      <c r="F66">
        <v>36</v>
      </c>
      <c r="G66">
        <v>33.4</v>
      </c>
      <c r="H66" s="7">
        <f t="shared" si="7"/>
        <v>1.0778443113772456</v>
      </c>
      <c r="I66">
        <v>25</v>
      </c>
      <c r="J66">
        <v>36.799999999999997</v>
      </c>
      <c r="K66">
        <v>29.7</v>
      </c>
      <c r="L66" s="7">
        <f t="shared" si="8"/>
        <v>1.239057239057239</v>
      </c>
      <c r="N66">
        <v>25</v>
      </c>
      <c r="O66">
        <v>39.1</v>
      </c>
      <c r="P66">
        <v>36.9</v>
      </c>
      <c r="Q66" s="7">
        <f t="shared" si="9"/>
        <v>1.0596205962059622</v>
      </c>
      <c r="R66">
        <v>25</v>
      </c>
      <c r="S66">
        <v>37.1</v>
      </c>
      <c r="T66" s="2">
        <v>35.4</v>
      </c>
      <c r="U66" s="7">
        <f t="shared" si="10"/>
        <v>1.0480225988700567</v>
      </c>
      <c r="V66">
        <v>25</v>
      </c>
      <c r="W66">
        <v>37.200000000000003</v>
      </c>
      <c r="X66">
        <v>34.5</v>
      </c>
      <c r="Y66" s="7">
        <f t="shared" si="11"/>
        <v>1.0782608695652174</v>
      </c>
    </row>
    <row r="67" spans="1:25" x14ac:dyDescent="0.3">
      <c r="A67">
        <v>26</v>
      </c>
      <c r="B67">
        <v>36.700000000000003</v>
      </c>
      <c r="C67">
        <v>34.700000000000003</v>
      </c>
      <c r="D67" s="7">
        <f t="shared" si="6"/>
        <v>1.0576368876080691</v>
      </c>
      <c r="E67">
        <v>26</v>
      </c>
      <c r="F67">
        <v>36.700000000000003</v>
      </c>
      <c r="G67">
        <v>32.1</v>
      </c>
      <c r="H67" s="7">
        <f t="shared" si="7"/>
        <v>1.1433021806853583</v>
      </c>
      <c r="I67">
        <v>26</v>
      </c>
      <c r="J67">
        <v>27.9</v>
      </c>
      <c r="K67">
        <v>25.7</v>
      </c>
      <c r="L67" s="7">
        <f t="shared" si="8"/>
        <v>1.0856031128404668</v>
      </c>
      <c r="N67">
        <v>26</v>
      </c>
      <c r="O67">
        <v>26.3</v>
      </c>
      <c r="P67">
        <v>26.1</v>
      </c>
      <c r="Q67" s="7">
        <f t="shared" si="9"/>
        <v>1.0076628352490422</v>
      </c>
      <c r="R67">
        <v>26</v>
      </c>
      <c r="S67">
        <v>30.4</v>
      </c>
      <c r="T67" s="2">
        <v>27.8</v>
      </c>
      <c r="U67" s="7">
        <f t="shared" si="10"/>
        <v>1.093525179856115</v>
      </c>
      <c r="V67">
        <v>26</v>
      </c>
      <c r="W67">
        <v>32.5</v>
      </c>
      <c r="X67">
        <v>30.3</v>
      </c>
      <c r="Y67" s="7">
        <f t="shared" si="11"/>
        <v>1.0726072607260726</v>
      </c>
    </row>
    <row r="68" spans="1:25" x14ac:dyDescent="0.3">
      <c r="A68">
        <v>27</v>
      </c>
      <c r="B68">
        <v>31.7</v>
      </c>
      <c r="C68">
        <v>29</v>
      </c>
      <c r="D68" s="7">
        <f t="shared" si="6"/>
        <v>1.0931034482758621</v>
      </c>
      <c r="E68">
        <v>27</v>
      </c>
      <c r="F68">
        <v>38</v>
      </c>
      <c r="G68">
        <v>33.700000000000003</v>
      </c>
      <c r="H68" s="7">
        <f t="shared" si="7"/>
        <v>1.1275964391691393</v>
      </c>
      <c r="I68">
        <v>27</v>
      </c>
      <c r="J68">
        <v>31.4</v>
      </c>
      <c r="K68">
        <v>34.299999999999997</v>
      </c>
      <c r="L68" s="7">
        <f t="shared" si="8"/>
        <v>0.91545189504373181</v>
      </c>
      <c r="N68">
        <v>27</v>
      </c>
      <c r="O68">
        <v>33.9</v>
      </c>
      <c r="P68">
        <v>31.6</v>
      </c>
      <c r="Q68" s="7">
        <f t="shared" si="9"/>
        <v>1.0727848101265822</v>
      </c>
      <c r="R68">
        <v>27</v>
      </c>
      <c r="S68">
        <v>31.9</v>
      </c>
      <c r="T68" s="2">
        <v>31.9</v>
      </c>
      <c r="U68" s="7">
        <f t="shared" si="10"/>
        <v>1</v>
      </c>
      <c r="V68">
        <v>27</v>
      </c>
      <c r="W68">
        <v>34.4</v>
      </c>
      <c r="X68">
        <v>29.4</v>
      </c>
      <c r="Y68" s="7">
        <f t="shared" si="11"/>
        <v>1.1700680272108843</v>
      </c>
    </row>
    <row r="69" spans="1:25" x14ac:dyDescent="0.3">
      <c r="A69">
        <v>28</v>
      </c>
      <c r="B69">
        <v>25.3</v>
      </c>
      <c r="C69">
        <v>23.4</v>
      </c>
      <c r="D69" s="7">
        <f t="shared" si="6"/>
        <v>1.0811965811965814</v>
      </c>
      <c r="E69">
        <v>28</v>
      </c>
      <c r="F69">
        <v>29.2</v>
      </c>
      <c r="G69">
        <v>28.8</v>
      </c>
      <c r="H69" s="7">
        <f t="shared" si="7"/>
        <v>1.0138888888888888</v>
      </c>
      <c r="I69">
        <v>28</v>
      </c>
      <c r="J69">
        <v>32.6</v>
      </c>
      <c r="K69">
        <v>30.3</v>
      </c>
      <c r="L69" s="7">
        <f t="shared" si="8"/>
        <v>1.0759075907590758</v>
      </c>
      <c r="N69">
        <v>28</v>
      </c>
      <c r="O69">
        <v>32.1</v>
      </c>
      <c r="P69">
        <v>27.5</v>
      </c>
      <c r="Q69" s="7">
        <f t="shared" si="9"/>
        <v>1.1672727272727272</v>
      </c>
      <c r="R69">
        <v>28</v>
      </c>
      <c r="S69">
        <v>37</v>
      </c>
      <c r="T69" s="2">
        <v>35.5</v>
      </c>
      <c r="U69" s="7">
        <f t="shared" si="10"/>
        <v>1.0422535211267605</v>
      </c>
      <c r="V69">
        <v>28</v>
      </c>
      <c r="W69">
        <v>39.5</v>
      </c>
      <c r="X69">
        <v>35.299999999999997</v>
      </c>
      <c r="Y69" s="7">
        <f t="shared" si="11"/>
        <v>1.1189801699716715</v>
      </c>
    </row>
    <row r="70" spans="1:25" x14ac:dyDescent="0.3">
      <c r="A70">
        <v>29</v>
      </c>
      <c r="B70">
        <v>34.700000000000003</v>
      </c>
      <c r="C70">
        <v>29.9</v>
      </c>
      <c r="D70" s="7">
        <f t="shared" si="6"/>
        <v>1.1605351170568563</v>
      </c>
      <c r="E70">
        <v>29</v>
      </c>
      <c r="F70">
        <v>26.6</v>
      </c>
      <c r="G70">
        <v>23.5</v>
      </c>
      <c r="H70" s="7">
        <f t="shared" si="7"/>
        <v>1.1319148936170214</v>
      </c>
      <c r="I70">
        <v>29</v>
      </c>
      <c r="J70">
        <v>32.6</v>
      </c>
      <c r="K70">
        <v>28.1</v>
      </c>
      <c r="L70" s="7">
        <f t="shared" si="8"/>
        <v>1.1601423487544484</v>
      </c>
      <c r="N70">
        <v>29</v>
      </c>
      <c r="O70">
        <v>37.1</v>
      </c>
      <c r="P70">
        <v>36.200000000000003</v>
      </c>
      <c r="Q70" s="7">
        <f t="shared" si="9"/>
        <v>1.0248618784530386</v>
      </c>
      <c r="R70">
        <v>29</v>
      </c>
      <c r="S70">
        <v>32.4</v>
      </c>
      <c r="T70" s="2">
        <v>30</v>
      </c>
      <c r="U70" s="7">
        <f t="shared" si="10"/>
        <v>1.0799999999999998</v>
      </c>
      <c r="V70">
        <v>29</v>
      </c>
      <c r="W70">
        <v>38.200000000000003</v>
      </c>
      <c r="X70">
        <v>37.1</v>
      </c>
      <c r="Y70" s="7">
        <f t="shared" si="11"/>
        <v>1.0296495956873315</v>
      </c>
    </row>
    <row r="71" spans="1:25" x14ac:dyDescent="0.3">
      <c r="A71">
        <v>30</v>
      </c>
      <c r="B71">
        <v>34.200000000000003</v>
      </c>
      <c r="C71">
        <v>31.3</v>
      </c>
      <c r="D71" s="7">
        <f t="shared" si="6"/>
        <v>1.0926517571884984</v>
      </c>
      <c r="E71">
        <v>30</v>
      </c>
      <c r="F71">
        <v>36.700000000000003</v>
      </c>
      <c r="G71">
        <v>30.4</v>
      </c>
      <c r="H71" s="7">
        <f t="shared" si="7"/>
        <v>1.2072368421052633</v>
      </c>
      <c r="I71">
        <v>30</v>
      </c>
      <c r="J71">
        <v>31.6</v>
      </c>
      <c r="K71">
        <v>29.8</v>
      </c>
      <c r="L71" s="7">
        <f t="shared" si="8"/>
        <v>1.0604026845637584</v>
      </c>
      <c r="N71">
        <v>30</v>
      </c>
      <c r="O71">
        <v>34.9</v>
      </c>
      <c r="P71">
        <v>35.5</v>
      </c>
      <c r="Q71" s="7">
        <f t="shared" si="9"/>
        <v>0.98309859154929569</v>
      </c>
      <c r="R71">
        <v>30</v>
      </c>
      <c r="S71">
        <v>34.5</v>
      </c>
      <c r="T71" s="2">
        <v>31.3</v>
      </c>
      <c r="U71" s="7">
        <f t="shared" si="10"/>
        <v>1.1022364217252396</v>
      </c>
      <c r="V71">
        <v>30</v>
      </c>
      <c r="W71">
        <v>39.200000000000003</v>
      </c>
      <c r="X71">
        <v>36.200000000000003</v>
      </c>
      <c r="Y71" s="7">
        <f t="shared" si="11"/>
        <v>1.0828729281767955</v>
      </c>
    </row>
    <row r="73" spans="1:25" x14ac:dyDescent="0.3">
      <c r="A73" s="23" t="s">
        <v>22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N73" s="23" t="s">
        <v>23</v>
      </c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5" spans="1:25" x14ac:dyDescent="0.3">
      <c r="A75" s="6" t="s">
        <v>3</v>
      </c>
      <c r="E75" s="6" t="s">
        <v>2</v>
      </c>
      <c r="I75" s="6" t="s">
        <v>0</v>
      </c>
      <c r="N75" s="6" t="s">
        <v>3</v>
      </c>
      <c r="R75" s="6" t="s">
        <v>2</v>
      </c>
      <c r="V75" s="6" t="s">
        <v>0</v>
      </c>
    </row>
    <row r="77" spans="1:25" x14ac:dyDescent="0.3">
      <c r="A77" t="s">
        <v>16</v>
      </c>
      <c r="B77" t="s">
        <v>17</v>
      </c>
      <c r="C77" t="s">
        <v>18</v>
      </c>
      <c r="D77" t="s">
        <v>19</v>
      </c>
      <c r="E77" t="s">
        <v>16</v>
      </c>
      <c r="F77" t="s">
        <v>17</v>
      </c>
      <c r="G77" t="s">
        <v>18</v>
      </c>
      <c r="H77" t="s">
        <v>19</v>
      </c>
      <c r="I77" t="s">
        <v>16</v>
      </c>
      <c r="J77" t="s">
        <v>17</v>
      </c>
      <c r="K77" t="s">
        <v>18</v>
      </c>
      <c r="L77" t="s">
        <v>19</v>
      </c>
      <c r="N77" t="s">
        <v>16</v>
      </c>
      <c r="O77" t="s">
        <v>17</v>
      </c>
      <c r="P77" t="s">
        <v>18</v>
      </c>
      <c r="Q77" t="s">
        <v>19</v>
      </c>
      <c r="R77" t="s">
        <v>16</v>
      </c>
      <c r="S77" t="s">
        <v>17</v>
      </c>
      <c r="T77" t="s">
        <v>18</v>
      </c>
      <c r="U77" t="s">
        <v>19</v>
      </c>
      <c r="V77" t="s">
        <v>16</v>
      </c>
      <c r="W77" t="s">
        <v>17</v>
      </c>
      <c r="X77" t="s">
        <v>18</v>
      </c>
      <c r="Y77" t="s">
        <v>19</v>
      </c>
    </row>
    <row r="78" spans="1:25" x14ac:dyDescent="0.3">
      <c r="A78">
        <v>1</v>
      </c>
      <c r="B78">
        <v>29.9</v>
      </c>
      <c r="C78">
        <v>25.8</v>
      </c>
      <c r="D78" s="7">
        <f>B78/C78</f>
        <v>1.1589147286821704</v>
      </c>
      <c r="E78">
        <v>1</v>
      </c>
      <c r="F78">
        <v>25.8</v>
      </c>
      <c r="G78">
        <v>21.8</v>
      </c>
      <c r="H78" s="7">
        <f>F78/G78</f>
        <v>1.1834862385321101</v>
      </c>
      <c r="I78">
        <v>1</v>
      </c>
      <c r="J78">
        <v>26.9</v>
      </c>
      <c r="K78">
        <v>23.3</v>
      </c>
      <c r="L78" s="7">
        <f>J78/K78</f>
        <v>1.1545064377682404</v>
      </c>
      <c r="N78">
        <v>1</v>
      </c>
      <c r="O78">
        <v>35.5</v>
      </c>
      <c r="P78">
        <v>32.200000000000003</v>
      </c>
      <c r="Q78" s="7">
        <f>O78/P78</f>
        <v>1.1024844720496894</v>
      </c>
      <c r="R78">
        <v>1</v>
      </c>
      <c r="S78">
        <v>29.9</v>
      </c>
      <c r="T78">
        <v>27.1</v>
      </c>
      <c r="U78" s="7">
        <f>S78/T78</f>
        <v>1.103321033210332</v>
      </c>
      <c r="V78">
        <v>1</v>
      </c>
      <c r="W78">
        <v>37.9</v>
      </c>
      <c r="X78">
        <v>34.700000000000003</v>
      </c>
      <c r="Y78" s="7">
        <f>W78/X78</f>
        <v>1.0922190201729105</v>
      </c>
    </row>
    <row r="79" spans="1:25" x14ac:dyDescent="0.3">
      <c r="A79">
        <v>2</v>
      </c>
      <c r="B79">
        <v>32.700000000000003</v>
      </c>
      <c r="C79">
        <v>29.6</v>
      </c>
      <c r="D79" s="7">
        <f t="shared" ref="D79:D107" si="12">B79/C79</f>
        <v>1.1047297297297298</v>
      </c>
      <c r="E79">
        <v>2</v>
      </c>
      <c r="F79">
        <v>29.2</v>
      </c>
      <c r="G79">
        <v>26</v>
      </c>
      <c r="H79" s="7">
        <f t="shared" ref="H79:H107" si="13">F79/G79</f>
        <v>1.1230769230769231</v>
      </c>
      <c r="I79">
        <v>2</v>
      </c>
      <c r="J79">
        <v>29.6</v>
      </c>
      <c r="K79">
        <v>29.5</v>
      </c>
      <c r="L79" s="7">
        <f t="shared" ref="L79:L107" si="14">J79/K79</f>
        <v>1.0033898305084745</v>
      </c>
      <c r="N79">
        <v>2</v>
      </c>
      <c r="O79">
        <v>34.9</v>
      </c>
      <c r="P79">
        <v>33.299999999999997</v>
      </c>
      <c r="Q79" s="7">
        <f t="shared" ref="Q79:Q107" si="15">O79/P79</f>
        <v>1.0480480480480481</v>
      </c>
      <c r="R79">
        <v>2</v>
      </c>
      <c r="S79">
        <v>34.799999999999997</v>
      </c>
      <c r="T79">
        <v>33</v>
      </c>
      <c r="U79" s="7">
        <f t="shared" ref="U79:U107" si="16">S79/T79</f>
        <v>1.0545454545454545</v>
      </c>
      <c r="V79">
        <v>2</v>
      </c>
      <c r="W79">
        <v>34</v>
      </c>
      <c r="X79">
        <v>32</v>
      </c>
      <c r="Y79" s="7">
        <f t="shared" ref="Y79:Y107" si="17">W79/X79</f>
        <v>1.0625</v>
      </c>
    </row>
    <row r="80" spans="1:25" x14ac:dyDescent="0.3">
      <c r="A80">
        <v>3</v>
      </c>
      <c r="B80">
        <v>29.4</v>
      </c>
      <c r="C80">
        <v>26.1</v>
      </c>
      <c r="D80" s="7">
        <f t="shared" si="12"/>
        <v>1.1264367816091954</v>
      </c>
      <c r="E80">
        <v>3</v>
      </c>
      <c r="F80">
        <v>27</v>
      </c>
      <c r="G80">
        <v>22.8</v>
      </c>
      <c r="H80" s="7">
        <f t="shared" si="13"/>
        <v>1.1842105263157894</v>
      </c>
      <c r="I80">
        <v>3</v>
      </c>
      <c r="J80">
        <v>32.700000000000003</v>
      </c>
      <c r="K80">
        <v>29.6</v>
      </c>
      <c r="L80" s="7">
        <f t="shared" si="14"/>
        <v>1.1047297297297298</v>
      </c>
      <c r="N80">
        <v>3</v>
      </c>
      <c r="O80">
        <v>27.2</v>
      </c>
      <c r="P80">
        <v>27.1</v>
      </c>
      <c r="Q80" s="7">
        <f t="shared" si="15"/>
        <v>1.003690036900369</v>
      </c>
      <c r="R80">
        <v>3</v>
      </c>
      <c r="S80">
        <v>31.1</v>
      </c>
      <c r="T80">
        <v>30.5</v>
      </c>
      <c r="U80" s="7">
        <f t="shared" si="16"/>
        <v>1.019672131147541</v>
      </c>
      <c r="V80">
        <v>3</v>
      </c>
      <c r="W80">
        <v>27.6</v>
      </c>
      <c r="X80">
        <v>29.6</v>
      </c>
      <c r="Y80" s="7">
        <f t="shared" si="17"/>
        <v>0.93243243243243246</v>
      </c>
    </row>
    <row r="81" spans="1:25" x14ac:dyDescent="0.3">
      <c r="A81">
        <v>4</v>
      </c>
      <c r="B81">
        <v>27.2</v>
      </c>
      <c r="C81">
        <v>25.4</v>
      </c>
      <c r="D81" s="7">
        <f t="shared" si="12"/>
        <v>1.0708661417322836</v>
      </c>
      <c r="E81">
        <v>4</v>
      </c>
      <c r="F81">
        <v>29</v>
      </c>
      <c r="G81">
        <v>27.5</v>
      </c>
      <c r="H81" s="7">
        <f t="shared" si="13"/>
        <v>1.0545454545454545</v>
      </c>
      <c r="I81">
        <v>4</v>
      </c>
      <c r="J81">
        <v>27.6</v>
      </c>
      <c r="K81">
        <v>26.4</v>
      </c>
      <c r="L81" s="7">
        <f t="shared" si="14"/>
        <v>1.0454545454545456</v>
      </c>
      <c r="N81">
        <v>4</v>
      </c>
      <c r="O81">
        <v>32.9</v>
      </c>
      <c r="P81">
        <v>32.299999999999997</v>
      </c>
      <c r="Q81" s="7">
        <f t="shared" si="15"/>
        <v>1.0185758513931888</v>
      </c>
      <c r="R81">
        <v>4</v>
      </c>
      <c r="S81">
        <v>33.200000000000003</v>
      </c>
      <c r="T81">
        <v>33</v>
      </c>
      <c r="U81" s="7">
        <f t="shared" si="16"/>
        <v>1.0060606060606061</v>
      </c>
      <c r="V81">
        <v>4</v>
      </c>
      <c r="W81">
        <v>26.6</v>
      </c>
      <c r="X81">
        <v>25.1</v>
      </c>
      <c r="Y81" s="7">
        <f t="shared" si="17"/>
        <v>1.0597609561752988</v>
      </c>
    </row>
    <row r="82" spans="1:25" x14ac:dyDescent="0.3">
      <c r="A82">
        <v>5</v>
      </c>
      <c r="B82">
        <v>25.5</v>
      </c>
      <c r="C82">
        <v>22.6</v>
      </c>
      <c r="D82" s="7">
        <f t="shared" si="12"/>
        <v>1.1283185840707963</v>
      </c>
      <c r="E82">
        <v>5</v>
      </c>
      <c r="F82">
        <v>33.299999999999997</v>
      </c>
      <c r="G82">
        <v>29.4</v>
      </c>
      <c r="H82" s="7">
        <f t="shared" si="13"/>
        <v>1.1326530612244898</v>
      </c>
      <c r="I82">
        <v>5</v>
      </c>
      <c r="J82">
        <v>32.1</v>
      </c>
      <c r="K82">
        <v>28.3</v>
      </c>
      <c r="L82" s="7">
        <f t="shared" si="14"/>
        <v>1.1342756183745584</v>
      </c>
      <c r="N82">
        <v>5</v>
      </c>
      <c r="O82">
        <v>28.2</v>
      </c>
      <c r="P82">
        <v>29.2</v>
      </c>
      <c r="Q82" s="7">
        <f t="shared" si="15"/>
        <v>0.96575342465753422</v>
      </c>
      <c r="R82">
        <v>5</v>
      </c>
      <c r="S82">
        <v>29.3</v>
      </c>
      <c r="T82">
        <v>28.4</v>
      </c>
      <c r="U82" s="7">
        <f t="shared" si="16"/>
        <v>1.0316901408450705</v>
      </c>
      <c r="V82">
        <v>5</v>
      </c>
      <c r="W82">
        <v>28.9</v>
      </c>
      <c r="X82">
        <v>26.6</v>
      </c>
      <c r="Y82" s="7">
        <f t="shared" si="17"/>
        <v>1.0864661654135337</v>
      </c>
    </row>
    <row r="83" spans="1:25" x14ac:dyDescent="0.3">
      <c r="A83">
        <v>6</v>
      </c>
      <c r="B83">
        <v>27.4</v>
      </c>
      <c r="C83">
        <v>24.9</v>
      </c>
      <c r="D83" s="7">
        <f t="shared" si="12"/>
        <v>1.1004016064257027</v>
      </c>
      <c r="E83">
        <v>6</v>
      </c>
      <c r="F83">
        <v>27.1</v>
      </c>
      <c r="G83">
        <v>30.2</v>
      </c>
      <c r="H83" s="7">
        <f t="shared" si="13"/>
        <v>0.89735099337748347</v>
      </c>
      <c r="I83">
        <v>6</v>
      </c>
      <c r="J83">
        <v>29.2</v>
      </c>
      <c r="K83">
        <v>27.3</v>
      </c>
      <c r="L83" s="7">
        <f t="shared" si="14"/>
        <v>1.0695970695970696</v>
      </c>
      <c r="N83">
        <v>6</v>
      </c>
      <c r="O83">
        <v>27.7</v>
      </c>
      <c r="P83">
        <v>26.5</v>
      </c>
      <c r="Q83" s="7">
        <f t="shared" si="15"/>
        <v>1.0452830188679245</v>
      </c>
      <c r="R83">
        <v>6</v>
      </c>
      <c r="S83">
        <v>26.7</v>
      </c>
      <c r="T83">
        <v>26.8</v>
      </c>
      <c r="U83" s="7">
        <f t="shared" si="16"/>
        <v>0.99626865671641784</v>
      </c>
      <c r="V83">
        <v>6</v>
      </c>
      <c r="W83">
        <v>23.8</v>
      </c>
      <c r="X83">
        <v>23.6</v>
      </c>
      <c r="Y83" s="7">
        <f t="shared" si="17"/>
        <v>1.0084745762711864</v>
      </c>
    </row>
    <row r="84" spans="1:25" x14ac:dyDescent="0.3">
      <c r="A84">
        <v>7</v>
      </c>
      <c r="B84">
        <v>29.3</v>
      </c>
      <c r="C84">
        <v>25.4</v>
      </c>
      <c r="D84" s="7">
        <f t="shared" si="12"/>
        <v>1.1535433070866143</v>
      </c>
      <c r="E84">
        <v>7</v>
      </c>
      <c r="F84">
        <v>27.9</v>
      </c>
      <c r="G84">
        <v>25.5</v>
      </c>
      <c r="H84" s="7">
        <f t="shared" si="13"/>
        <v>1.0941176470588234</v>
      </c>
      <c r="I84">
        <v>7</v>
      </c>
      <c r="J84">
        <v>32.6</v>
      </c>
      <c r="K84">
        <v>27</v>
      </c>
      <c r="L84" s="7">
        <f t="shared" si="14"/>
        <v>1.2074074074074075</v>
      </c>
      <c r="N84">
        <v>7</v>
      </c>
      <c r="O84">
        <v>35.700000000000003</v>
      </c>
      <c r="P84">
        <v>32.299999999999997</v>
      </c>
      <c r="Q84" s="7">
        <f t="shared" si="15"/>
        <v>1.1052631578947369</v>
      </c>
      <c r="R84">
        <v>7</v>
      </c>
      <c r="S84">
        <v>28.2</v>
      </c>
      <c r="T84">
        <v>27.7</v>
      </c>
      <c r="U84" s="7">
        <f t="shared" si="16"/>
        <v>1.0180505415162455</v>
      </c>
      <c r="V84">
        <v>7</v>
      </c>
      <c r="W84">
        <v>28.7</v>
      </c>
      <c r="X84">
        <v>26.5</v>
      </c>
      <c r="Y84" s="7">
        <f t="shared" si="17"/>
        <v>1.0830188679245283</v>
      </c>
    </row>
    <row r="85" spans="1:25" x14ac:dyDescent="0.3">
      <c r="A85">
        <v>8</v>
      </c>
      <c r="B85">
        <v>27.5</v>
      </c>
      <c r="C85">
        <v>22.1</v>
      </c>
      <c r="D85" s="7">
        <f t="shared" si="12"/>
        <v>1.244343891402715</v>
      </c>
      <c r="E85">
        <v>8</v>
      </c>
      <c r="F85">
        <v>29.9</v>
      </c>
      <c r="G85">
        <v>24.6</v>
      </c>
      <c r="H85" s="7">
        <f t="shared" si="13"/>
        <v>1.2154471544715446</v>
      </c>
      <c r="I85">
        <v>8</v>
      </c>
      <c r="J85">
        <v>32.6</v>
      </c>
      <c r="K85">
        <v>28.9</v>
      </c>
      <c r="L85" s="7">
        <f t="shared" si="14"/>
        <v>1.1280276816608998</v>
      </c>
      <c r="N85">
        <v>8</v>
      </c>
      <c r="O85">
        <v>34.700000000000003</v>
      </c>
      <c r="P85">
        <v>34</v>
      </c>
      <c r="Q85" s="7">
        <f t="shared" si="15"/>
        <v>1.0205882352941178</v>
      </c>
      <c r="R85">
        <v>8</v>
      </c>
      <c r="S85">
        <v>29.4</v>
      </c>
      <c r="T85">
        <v>27.2</v>
      </c>
      <c r="U85" s="7">
        <f t="shared" si="16"/>
        <v>1.0808823529411764</v>
      </c>
      <c r="V85">
        <v>8</v>
      </c>
      <c r="W85">
        <v>28.8</v>
      </c>
      <c r="X85">
        <v>27.4</v>
      </c>
      <c r="Y85" s="7">
        <f t="shared" si="17"/>
        <v>1.051094890510949</v>
      </c>
    </row>
    <row r="86" spans="1:25" x14ac:dyDescent="0.3">
      <c r="A86">
        <v>9</v>
      </c>
      <c r="B86">
        <v>25.8</v>
      </c>
      <c r="C86">
        <v>22.2</v>
      </c>
      <c r="D86" s="7">
        <f t="shared" si="12"/>
        <v>1.1621621621621623</v>
      </c>
      <c r="E86">
        <v>9</v>
      </c>
      <c r="F86">
        <v>22.6</v>
      </c>
      <c r="G86">
        <v>25.4</v>
      </c>
      <c r="H86" s="7">
        <f t="shared" si="13"/>
        <v>0.88976377952755914</v>
      </c>
      <c r="I86">
        <v>9</v>
      </c>
      <c r="J86">
        <v>27.2</v>
      </c>
      <c r="K86">
        <v>26.3</v>
      </c>
      <c r="L86" s="7">
        <f t="shared" si="14"/>
        <v>1.0342205323193916</v>
      </c>
      <c r="N86">
        <v>9</v>
      </c>
      <c r="O86">
        <v>37</v>
      </c>
      <c r="P86">
        <v>33.799999999999997</v>
      </c>
      <c r="Q86" s="7">
        <f t="shared" si="15"/>
        <v>1.0946745562130178</v>
      </c>
      <c r="R86">
        <v>9</v>
      </c>
      <c r="S86">
        <v>34.1</v>
      </c>
      <c r="T86">
        <v>33.5</v>
      </c>
      <c r="U86" s="7">
        <f t="shared" si="16"/>
        <v>1.017910447761194</v>
      </c>
      <c r="V86">
        <v>9</v>
      </c>
      <c r="W86">
        <v>26.6</v>
      </c>
      <c r="X86">
        <v>25.1</v>
      </c>
      <c r="Y86" s="7">
        <f t="shared" si="17"/>
        <v>1.0597609561752988</v>
      </c>
    </row>
    <row r="87" spans="1:25" x14ac:dyDescent="0.3">
      <c r="A87">
        <v>10</v>
      </c>
      <c r="B87">
        <v>25.3</v>
      </c>
      <c r="C87">
        <v>23.6</v>
      </c>
      <c r="D87" s="7">
        <f t="shared" si="12"/>
        <v>1.0720338983050848</v>
      </c>
      <c r="E87">
        <v>10</v>
      </c>
      <c r="F87">
        <v>32.5</v>
      </c>
      <c r="G87">
        <v>28.7</v>
      </c>
      <c r="H87" s="7">
        <f t="shared" si="13"/>
        <v>1.132404181184669</v>
      </c>
      <c r="I87">
        <v>10</v>
      </c>
      <c r="J87">
        <v>25.9</v>
      </c>
      <c r="K87">
        <v>22.3</v>
      </c>
      <c r="L87" s="7">
        <f t="shared" si="14"/>
        <v>1.1614349775784751</v>
      </c>
      <c r="N87">
        <v>10</v>
      </c>
      <c r="O87">
        <v>28</v>
      </c>
      <c r="P87">
        <v>25.2</v>
      </c>
      <c r="Q87" s="7">
        <f t="shared" si="15"/>
        <v>1.1111111111111112</v>
      </c>
      <c r="R87">
        <v>10</v>
      </c>
      <c r="S87">
        <v>31.9</v>
      </c>
      <c r="T87">
        <v>31.1</v>
      </c>
      <c r="U87" s="7">
        <f t="shared" si="16"/>
        <v>1.0257234726688103</v>
      </c>
      <c r="V87">
        <v>10</v>
      </c>
      <c r="W87">
        <v>30.7</v>
      </c>
      <c r="X87">
        <v>32.4</v>
      </c>
      <c r="Y87" s="7">
        <f t="shared" si="17"/>
        <v>0.94753086419753085</v>
      </c>
    </row>
    <row r="88" spans="1:25" x14ac:dyDescent="0.3">
      <c r="A88">
        <v>11</v>
      </c>
      <c r="B88">
        <v>29</v>
      </c>
      <c r="C88">
        <v>24.7</v>
      </c>
      <c r="D88" s="7">
        <f t="shared" si="12"/>
        <v>1.1740890688259109</v>
      </c>
      <c r="E88">
        <v>11</v>
      </c>
      <c r="F88">
        <v>28.4</v>
      </c>
      <c r="G88">
        <v>26</v>
      </c>
      <c r="H88" s="7">
        <f t="shared" si="13"/>
        <v>1.0923076923076922</v>
      </c>
      <c r="I88">
        <v>11</v>
      </c>
      <c r="J88">
        <v>26.9</v>
      </c>
      <c r="K88">
        <v>24.7</v>
      </c>
      <c r="L88" s="7">
        <f t="shared" si="14"/>
        <v>1.0890688259109311</v>
      </c>
      <c r="N88">
        <v>11</v>
      </c>
      <c r="O88">
        <v>32.700000000000003</v>
      </c>
      <c r="P88">
        <v>32</v>
      </c>
      <c r="Q88" s="7">
        <f t="shared" si="15"/>
        <v>1.0218750000000001</v>
      </c>
      <c r="R88">
        <v>11</v>
      </c>
      <c r="S88">
        <v>31</v>
      </c>
      <c r="T88">
        <v>28.5</v>
      </c>
      <c r="U88" s="7">
        <f t="shared" si="16"/>
        <v>1.0877192982456141</v>
      </c>
      <c r="V88">
        <v>11</v>
      </c>
      <c r="W88">
        <v>35</v>
      </c>
      <c r="X88">
        <v>33.5</v>
      </c>
      <c r="Y88" s="7">
        <f t="shared" si="17"/>
        <v>1.044776119402985</v>
      </c>
    </row>
    <row r="89" spans="1:25" x14ac:dyDescent="0.3">
      <c r="A89">
        <v>12</v>
      </c>
      <c r="B89">
        <v>29.9</v>
      </c>
      <c r="C89">
        <v>26.1</v>
      </c>
      <c r="D89" s="7">
        <f t="shared" si="12"/>
        <v>1.1455938697318007</v>
      </c>
      <c r="E89">
        <v>12</v>
      </c>
      <c r="F89">
        <v>30.2</v>
      </c>
      <c r="G89">
        <v>23.8</v>
      </c>
      <c r="H89" s="7">
        <f t="shared" si="13"/>
        <v>1.26890756302521</v>
      </c>
      <c r="I89">
        <v>12</v>
      </c>
      <c r="J89">
        <v>31.8</v>
      </c>
      <c r="K89">
        <v>29</v>
      </c>
      <c r="L89" s="7">
        <f t="shared" si="14"/>
        <v>1.096551724137931</v>
      </c>
      <c r="N89">
        <v>12</v>
      </c>
      <c r="O89">
        <v>28.1</v>
      </c>
      <c r="P89">
        <v>26.3</v>
      </c>
      <c r="Q89" s="7">
        <f t="shared" si="15"/>
        <v>1.0684410646387832</v>
      </c>
      <c r="R89">
        <v>12</v>
      </c>
      <c r="S89">
        <v>29.7</v>
      </c>
      <c r="T89">
        <v>26.9</v>
      </c>
      <c r="U89" s="7">
        <f t="shared" si="16"/>
        <v>1.1040892193308551</v>
      </c>
      <c r="V89">
        <v>12</v>
      </c>
      <c r="W89">
        <v>28.1</v>
      </c>
      <c r="X89">
        <v>24.6</v>
      </c>
      <c r="Y89" s="7">
        <f t="shared" si="17"/>
        <v>1.1422764227642277</v>
      </c>
    </row>
    <row r="90" spans="1:25" x14ac:dyDescent="0.3">
      <c r="A90">
        <v>13</v>
      </c>
      <c r="B90">
        <v>26.1</v>
      </c>
      <c r="C90">
        <v>23.7</v>
      </c>
      <c r="D90" s="7">
        <f t="shared" si="12"/>
        <v>1.1012658227848102</v>
      </c>
      <c r="E90">
        <v>13</v>
      </c>
      <c r="F90">
        <v>25.3</v>
      </c>
      <c r="G90">
        <v>22</v>
      </c>
      <c r="H90" s="7">
        <f t="shared" si="13"/>
        <v>1.1500000000000001</v>
      </c>
      <c r="I90">
        <v>13</v>
      </c>
      <c r="J90">
        <v>30</v>
      </c>
      <c r="K90">
        <v>30</v>
      </c>
      <c r="L90" s="7">
        <f t="shared" si="14"/>
        <v>1</v>
      </c>
      <c r="N90">
        <v>13</v>
      </c>
      <c r="O90">
        <v>35.700000000000003</v>
      </c>
      <c r="P90">
        <v>32.799999999999997</v>
      </c>
      <c r="Q90" s="7">
        <f t="shared" si="15"/>
        <v>1.0884146341463417</v>
      </c>
      <c r="R90">
        <v>13</v>
      </c>
      <c r="S90">
        <v>37.799999999999997</v>
      </c>
      <c r="T90">
        <v>34.700000000000003</v>
      </c>
      <c r="U90" s="7">
        <f t="shared" si="16"/>
        <v>1.089337175792507</v>
      </c>
      <c r="V90">
        <v>13</v>
      </c>
      <c r="W90">
        <v>32.1</v>
      </c>
      <c r="X90">
        <v>30.3</v>
      </c>
      <c r="Y90" s="7">
        <f t="shared" si="17"/>
        <v>1.0594059405940595</v>
      </c>
    </row>
    <row r="91" spans="1:25" x14ac:dyDescent="0.3">
      <c r="A91">
        <v>14</v>
      </c>
      <c r="B91">
        <v>35.299999999999997</v>
      </c>
      <c r="C91">
        <v>30.9</v>
      </c>
      <c r="D91" s="7">
        <f t="shared" si="12"/>
        <v>1.1423948220064724</v>
      </c>
      <c r="E91">
        <v>14</v>
      </c>
      <c r="F91">
        <v>33.799999999999997</v>
      </c>
      <c r="G91">
        <v>30.1</v>
      </c>
      <c r="H91" s="7">
        <f t="shared" si="13"/>
        <v>1.1229235880398669</v>
      </c>
      <c r="I91">
        <v>14</v>
      </c>
      <c r="J91">
        <v>29.6</v>
      </c>
      <c r="K91">
        <v>29.5</v>
      </c>
      <c r="L91" s="7">
        <f t="shared" si="14"/>
        <v>1.0033898305084745</v>
      </c>
      <c r="N91">
        <v>14</v>
      </c>
      <c r="O91">
        <v>28.3</v>
      </c>
      <c r="P91">
        <v>28.4</v>
      </c>
      <c r="Q91" s="7">
        <f t="shared" si="15"/>
        <v>0.99647887323943674</v>
      </c>
      <c r="R91">
        <v>14</v>
      </c>
      <c r="S91">
        <v>28.5</v>
      </c>
      <c r="T91">
        <v>29.7</v>
      </c>
      <c r="U91" s="7">
        <f t="shared" si="16"/>
        <v>0.95959595959595967</v>
      </c>
      <c r="V91">
        <v>14</v>
      </c>
      <c r="W91">
        <v>37.1</v>
      </c>
      <c r="X91">
        <v>32.799999999999997</v>
      </c>
      <c r="Y91" s="7">
        <f t="shared" si="17"/>
        <v>1.13109756097561</v>
      </c>
    </row>
    <row r="92" spans="1:25" x14ac:dyDescent="0.3">
      <c r="A92">
        <v>15</v>
      </c>
      <c r="B92">
        <v>28.7</v>
      </c>
      <c r="C92">
        <v>25.8</v>
      </c>
      <c r="D92" s="7">
        <f t="shared" si="12"/>
        <v>1.1124031007751938</v>
      </c>
      <c r="E92">
        <v>15</v>
      </c>
      <c r="F92">
        <v>31.2</v>
      </c>
      <c r="G92">
        <v>27.7</v>
      </c>
      <c r="H92" s="7">
        <f t="shared" si="13"/>
        <v>1.1263537906137184</v>
      </c>
      <c r="I92">
        <v>15</v>
      </c>
      <c r="J92">
        <v>31.2</v>
      </c>
      <c r="K92">
        <v>24.7</v>
      </c>
      <c r="L92" s="7">
        <f t="shared" si="14"/>
        <v>1.263157894736842</v>
      </c>
      <c r="N92">
        <v>15</v>
      </c>
      <c r="O92">
        <v>28.1</v>
      </c>
      <c r="P92">
        <v>29.4</v>
      </c>
      <c r="Q92" s="7">
        <f t="shared" si="15"/>
        <v>0.95578231292517013</v>
      </c>
      <c r="R92">
        <v>15</v>
      </c>
      <c r="S92">
        <v>25.9</v>
      </c>
      <c r="T92">
        <v>24.5</v>
      </c>
      <c r="U92" s="7">
        <f t="shared" si="16"/>
        <v>1.0571428571428572</v>
      </c>
      <c r="V92">
        <v>15</v>
      </c>
      <c r="W92">
        <v>30.9</v>
      </c>
      <c r="X92">
        <v>27.6</v>
      </c>
      <c r="Y92" s="7">
        <f t="shared" si="17"/>
        <v>1.1195652173913042</v>
      </c>
    </row>
    <row r="93" spans="1:25" x14ac:dyDescent="0.3">
      <c r="A93">
        <v>16</v>
      </c>
      <c r="B93">
        <v>34.4</v>
      </c>
      <c r="C93">
        <v>27.7</v>
      </c>
      <c r="D93" s="7">
        <f t="shared" si="12"/>
        <v>1.2418772563176894</v>
      </c>
      <c r="E93">
        <v>16</v>
      </c>
      <c r="F93">
        <v>28.2</v>
      </c>
      <c r="G93">
        <v>24.4</v>
      </c>
      <c r="H93" s="7">
        <f t="shared" si="13"/>
        <v>1.1557377049180328</v>
      </c>
      <c r="I93">
        <v>16</v>
      </c>
      <c r="J93">
        <v>28.6</v>
      </c>
      <c r="K93">
        <v>26.5</v>
      </c>
      <c r="L93" s="7">
        <f t="shared" si="14"/>
        <v>1.0792452830188679</v>
      </c>
      <c r="N93">
        <v>16</v>
      </c>
      <c r="O93">
        <v>27.9</v>
      </c>
      <c r="P93">
        <v>26.2</v>
      </c>
      <c r="Q93" s="7">
        <f t="shared" si="15"/>
        <v>1.0648854961832062</v>
      </c>
      <c r="R93">
        <v>16</v>
      </c>
      <c r="S93">
        <v>29.8</v>
      </c>
      <c r="T93">
        <v>26.6</v>
      </c>
      <c r="U93" s="7">
        <f t="shared" si="16"/>
        <v>1.1203007518796992</v>
      </c>
      <c r="V93">
        <v>16</v>
      </c>
      <c r="W93">
        <v>34.9</v>
      </c>
      <c r="X93">
        <v>33.799999999999997</v>
      </c>
      <c r="Y93" s="7">
        <f t="shared" si="17"/>
        <v>1.0325443786982249</v>
      </c>
    </row>
    <row r="94" spans="1:25" x14ac:dyDescent="0.3">
      <c r="A94">
        <v>17</v>
      </c>
      <c r="B94">
        <v>35.700000000000003</v>
      </c>
      <c r="C94">
        <v>31.7</v>
      </c>
      <c r="D94" s="7">
        <f t="shared" si="12"/>
        <v>1.1261829652996846</v>
      </c>
      <c r="E94">
        <v>17</v>
      </c>
      <c r="F94">
        <v>37.299999999999997</v>
      </c>
      <c r="G94">
        <v>31.3</v>
      </c>
      <c r="H94" s="7">
        <f t="shared" si="13"/>
        <v>1.1916932907348241</v>
      </c>
      <c r="I94">
        <v>17</v>
      </c>
      <c r="J94">
        <v>30.1</v>
      </c>
      <c r="K94">
        <v>26.5</v>
      </c>
      <c r="L94" s="7">
        <f t="shared" si="14"/>
        <v>1.1358490566037736</v>
      </c>
      <c r="N94">
        <v>17</v>
      </c>
      <c r="O94">
        <v>36.700000000000003</v>
      </c>
      <c r="P94">
        <v>32.6</v>
      </c>
      <c r="Q94" s="7">
        <f t="shared" si="15"/>
        <v>1.1257668711656441</v>
      </c>
      <c r="R94">
        <v>17</v>
      </c>
      <c r="S94">
        <v>28.7</v>
      </c>
      <c r="T94">
        <v>28.1</v>
      </c>
      <c r="U94" s="7">
        <f t="shared" si="16"/>
        <v>1.0213523131672597</v>
      </c>
      <c r="V94">
        <v>17</v>
      </c>
      <c r="W94">
        <v>34.700000000000003</v>
      </c>
      <c r="X94">
        <v>31.1</v>
      </c>
      <c r="Y94" s="7">
        <f t="shared" si="17"/>
        <v>1.1157556270096463</v>
      </c>
    </row>
    <row r="95" spans="1:25" x14ac:dyDescent="0.3">
      <c r="A95">
        <v>18</v>
      </c>
      <c r="B95">
        <v>25.5</v>
      </c>
      <c r="C95">
        <v>23.2</v>
      </c>
      <c r="D95" s="7">
        <f t="shared" si="12"/>
        <v>1.0991379310344829</v>
      </c>
      <c r="E95">
        <v>18</v>
      </c>
      <c r="F95">
        <v>34.9</v>
      </c>
      <c r="G95">
        <v>28.2</v>
      </c>
      <c r="H95" s="7">
        <f t="shared" si="13"/>
        <v>1.2375886524822695</v>
      </c>
      <c r="I95">
        <v>18</v>
      </c>
      <c r="J95">
        <v>26.6</v>
      </c>
      <c r="K95">
        <v>24.3</v>
      </c>
      <c r="L95" s="7">
        <f t="shared" si="14"/>
        <v>1.094650205761317</v>
      </c>
      <c r="N95">
        <v>18</v>
      </c>
      <c r="O95">
        <v>34.299999999999997</v>
      </c>
      <c r="P95">
        <v>32.4</v>
      </c>
      <c r="Q95" s="7">
        <f t="shared" si="15"/>
        <v>1.058641975308642</v>
      </c>
      <c r="R95">
        <v>18</v>
      </c>
      <c r="S95">
        <v>28.9</v>
      </c>
      <c r="T95">
        <v>25.2</v>
      </c>
      <c r="U95" s="7">
        <f t="shared" si="16"/>
        <v>1.1468253968253967</v>
      </c>
      <c r="V95">
        <v>18</v>
      </c>
      <c r="W95">
        <v>27.1</v>
      </c>
      <c r="X95">
        <v>29.2</v>
      </c>
      <c r="Y95" s="7">
        <f t="shared" si="17"/>
        <v>0.92808219178082196</v>
      </c>
    </row>
    <row r="96" spans="1:25" x14ac:dyDescent="0.3">
      <c r="A96">
        <v>19</v>
      </c>
      <c r="B96">
        <v>26.2</v>
      </c>
      <c r="C96">
        <v>22.4</v>
      </c>
      <c r="D96" s="7">
        <f t="shared" si="12"/>
        <v>1.1696428571428572</v>
      </c>
      <c r="E96">
        <v>19</v>
      </c>
      <c r="F96">
        <v>34.200000000000003</v>
      </c>
      <c r="G96">
        <v>30.4</v>
      </c>
      <c r="H96" s="7">
        <f t="shared" si="13"/>
        <v>1.1250000000000002</v>
      </c>
      <c r="I96">
        <v>19</v>
      </c>
      <c r="J96">
        <v>26.8</v>
      </c>
      <c r="K96">
        <v>28.3</v>
      </c>
      <c r="L96" s="7">
        <f t="shared" si="14"/>
        <v>0.94699646643109536</v>
      </c>
      <c r="N96">
        <v>19</v>
      </c>
      <c r="O96">
        <v>37.4</v>
      </c>
      <c r="P96">
        <v>34.4</v>
      </c>
      <c r="Q96" s="7">
        <f t="shared" si="15"/>
        <v>1.0872093023255813</v>
      </c>
      <c r="R96">
        <v>19</v>
      </c>
      <c r="S96">
        <v>29.1</v>
      </c>
      <c r="T96">
        <v>27.2</v>
      </c>
      <c r="U96" s="7">
        <f t="shared" si="16"/>
        <v>1.0698529411764706</v>
      </c>
      <c r="V96">
        <v>19</v>
      </c>
      <c r="W96">
        <v>35.799999999999997</v>
      </c>
      <c r="X96">
        <v>26.1</v>
      </c>
      <c r="Y96" s="7">
        <f t="shared" si="17"/>
        <v>1.3716475095785439</v>
      </c>
    </row>
    <row r="97" spans="1:25" x14ac:dyDescent="0.3">
      <c r="A97">
        <v>20</v>
      </c>
      <c r="B97">
        <v>26.6</v>
      </c>
      <c r="C97">
        <v>23</v>
      </c>
      <c r="D97" s="7">
        <f t="shared" si="12"/>
        <v>1.1565217391304348</v>
      </c>
      <c r="E97">
        <v>20</v>
      </c>
      <c r="F97">
        <v>31</v>
      </c>
      <c r="G97">
        <v>26.8</v>
      </c>
      <c r="H97" s="7">
        <f t="shared" si="13"/>
        <v>1.1567164179104477</v>
      </c>
      <c r="I97">
        <v>20</v>
      </c>
      <c r="J97">
        <v>29.7</v>
      </c>
      <c r="K97">
        <v>31.4</v>
      </c>
      <c r="L97" s="7">
        <f t="shared" si="14"/>
        <v>0.94585987261146498</v>
      </c>
      <c r="N97">
        <v>20</v>
      </c>
      <c r="O97">
        <v>27.5</v>
      </c>
      <c r="P97">
        <v>26</v>
      </c>
      <c r="Q97" s="7">
        <f t="shared" si="15"/>
        <v>1.0576923076923077</v>
      </c>
      <c r="R97">
        <v>20</v>
      </c>
      <c r="S97">
        <v>31.3</v>
      </c>
      <c r="T97">
        <v>31.1</v>
      </c>
      <c r="U97" s="7">
        <f t="shared" si="16"/>
        <v>1.0064308681672025</v>
      </c>
      <c r="V97">
        <v>20</v>
      </c>
      <c r="W97">
        <v>36.4</v>
      </c>
      <c r="X97">
        <v>33.700000000000003</v>
      </c>
      <c r="Y97" s="7">
        <f t="shared" si="17"/>
        <v>1.0801186943620176</v>
      </c>
    </row>
    <row r="98" spans="1:25" x14ac:dyDescent="0.3">
      <c r="A98">
        <v>21</v>
      </c>
      <c r="B98">
        <v>31.4</v>
      </c>
      <c r="C98">
        <v>28.3</v>
      </c>
      <c r="D98" s="7">
        <f t="shared" si="12"/>
        <v>1.1095406360424027</v>
      </c>
      <c r="E98">
        <v>21</v>
      </c>
      <c r="F98">
        <v>25.6</v>
      </c>
      <c r="G98">
        <v>22.9</v>
      </c>
      <c r="H98" s="7">
        <f t="shared" si="13"/>
        <v>1.1179039301310045</v>
      </c>
      <c r="I98">
        <v>21</v>
      </c>
      <c r="J98">
        <v>34.4</v>
      </c>
      <c r="K98">
        <v>28.3</v>
      </c>
      <c r="L98" s="7">
        <f t="shared" si="14"/>
        <v>1.215547703180212</v>
      </c>
      <c r="N98">
        <v>21</v>
      </c>
      <c r="O98">
        <v>32.200000000000003</v>
      </c>
      <c r="P98">
        <v>32.200000000000003</v>
      </c>
      <c r="Q98" s="7">
        <f t="shared" si="15"/>
        <v>1</v>
      </c>
      <c r="R98">
        <v>21</v>
      </c>
      <c r="S98">
        <v>28.5</v>
      </c>
      <c r="T98">
        <v>29.2</v>
      </c>
      <c r="U98" s="7">
        <f t="shared" si="16"/>
        <v>0.97602739726027399</v>
      </c>
      <c r="V98">
        <v>21</v>
      </c>
      <c r="W98">
        <v>33.4</v>
      </c>
      <c r="X98">
        <v>34.200000000000003</v>
      </c>
      <c r="Y98" s="7">
        <f t="shared" si="17"/>
        <v>0.97660818713450281</v>
      </c>
    </row>
    <row r="99" spans="1:25" x14ac:dyDescent="0.3">
      <c r="A99">
        <v>22</v>
      </c>
      <c r="B99">
        <v>26.4</v>
      </c>
      <c r="C99">
        <v>22.8</v>
      </c>
      <c r="D99" s="7">
        <f t="shared" si="12"/>
        <v>1.1578947368421051</v>
      </c>
      <c r="E99">
        <v>22</v>
      </c>
      <c r="F99">
        <v>33.6</v>
      </c>
      <c r="G99">
        <v>30.4</v>
      </c>
      <c r="H99" s="7">
        <f t="shared" si="13"/>
        <v>1.1052631578947369</v>
      </c>
      <c r="I99">
        <v>22</v>
      </c>
      <c r="J99">
        <v>34.700000000000003</v>
      </c>
      <c r="K99">
        <v>23.2</v>
      </c>
      <c r="L99" s="7">
        <f t="shared" si="14"/>
        <v>1.4956896551724139</v>
      </c>
      <c r="N99">
        <v>22</v>
      </c>
      <c r="O99">
        <v>28</v>
      </c>
      <c r="P99">
        <v>27.2</v>
      </c>
      <c r="Q99" s="7">
        <f t="shared" si="15"/>
        <v>1.0294117647058825</v>
      </c>
      <c r="R99">
        <v>22</v>
      </c>
      <c r="S99">
        <v>29.3</v>
      </c>
      <c r="T99">
        <v>28.6</v>
      </c>
      <c r="U99" s="7">
        <f t="shared" si="16"/>
        <v>1.0244755244755244</v>
      </c>
      <c r="V99">
        <v>22</v>
      </c>
      <c r="W99">
        <v>31.4</v>
      </c>
      <c r="X99">
        <v>31.5</v>
      </c>
      <c r="Y99" s="7">
        <f t="shared" si="17"/>
        <v>0.99682539682539673</v>
      </c>
    </row>
    <row r="100" spans="1:25" x14ac:dyDescent="0.3">
      <c r="A100">
        <v>23</v>
      </c>
      <c r="B100">
        <v>26.6</v>
      </c>
      <c r="C100">
        <v>23</v>
      </c>
      <c r="D100" s="7">
        <f t="shared" si="12"/>
        <v>1.1565217391304348</v>
      </c>
      <c r="E100">
        <v>23</v>
      </c>
      <c r="F100">
        <v>30.2</v>
      </c>
      <c r="G100">
        <v>26.5</v>
      </c>
      <c r="H100" s="7">
        <f t="shared" si="13"/>
        <v>1.1396226415094339</v>
      </c>
      <c r="I100">
        <v>23</v>
      </c>
      <c r="J100">
        <v>27.2</v>
      </c>
      <c r="K100">
        <v>27</v>
      </c>
      <c r="L100" s="7">
        <f t="shared" si="14"/>
        <v>1.0074074074074073</v>
      </c>
      <c r="N100">
        <v>23</v>
      </c>
      <c r="O100">
        <v>29</v>
      </c>
      <c r="P100">
        <v>26.1</v>
      </c>
      <c r="Q100" s="7">
        <f t="shared" si="15"/>
        <v>1.1111111111111112</v>
      </c>
      <c r="R100">
        <v>23</v>
      </c>
      <c r="S100">
        <v>35.6</v>
      </c>
      <c r="T100">
        <v>33.1</v>
      </c>
      <c r="U100" s="7">
        <f t="shared" si="16"/>
        <v>1.0755287009063443</v>
      </c>
      <c r="V100">
        <v>23</v>
      </c>
      <c r="W100">
        <v>36.4</v>
      </c>
      <c r="X100">
        <v>31.5</v>
      </c>
      <c r="Y100" s="7">
        <f t="shared" si="17"/>
        <v>1.1555555555555554</v>
      </c>
    </row>
    <row r="101" spans="1:25" x14ac:dyDescent="0.3">
      <c r="A101">
        <v>24</v>
      </c>
      <c r="B101">
        <v>33.4</v>
      </c>
      <c r="C101">
        <v>28.8</v>
      </c>
      <c r="D101" s="7">
        <f t="shared" si="12"/>
        <v>1.1597222222222221</v>
      </c>
      <c r="E101">
        <v>24</v>
      </c>
      <c r="F101">
        <v>33.6</v>
      </c>
      <c r="G101">
        <v>29</v>
      </c>
      <c r="H101" s="7">
        <f t="shared" si="13"/>
        <v>1.1586206896551725</v>
      </c>
      <c r="I101">
        <v>24</v>
      </c>
      <c r="J101">
        <v>30.2</v>
      </c>
      <c r="K101">
        <v>24.8</v>
      </c>
      <c r="L101" s="7">
        <f t="shared" si="14"/>
        <v>1.217741935483871</v>
      </c>
      <c r="N101">
        <v>24</v>
      </c>
      <c r="O101">
        <v>35.799999999999997</v>
      </c>
      <c r="P101">
        <v>33.6</v>
      </c>
      <c r="Q101" s="7">
        <f t="shared" si="15"/>
        <v>1.0654761904761902</v>
      </c>
      <c r="R101">
        <v>24</v>
      </c>
      <c r="S101">
        <v>28.9</v>
      </c>
      <c r="T101">
        <v>27.4</v>
      </c>
      <c r="U101" s="7">
        <f t="shared" si="16"/>
        <v>1.0547445255474452</v>
      </c>
      <c r="V101">
        <v>24</v>
      </c>
      <c r="W101">
        <v>32.4</v>
      </c>
      <c r="X101">
        <v>35.1</v>
      </c>
      <c r="Y101" s="7">
        <f t="shared" si="17"/>
        <v>0.92307692307692302</v>
      </c>
    </row>
    <row r="102" spans="1:25" x14ac:dyDescent="0.3">
      <c r="A102">
        <v>25</v>
      </c>
      <c r="B102">
        <v>26.3</v>
      </c>
      <c r="C102">
        <v>22</v>
      </c>
      <c r="D102" s="7">
        <f t="shared" si="12"/>
        <v>1.1954545454545455</v>
      </c>
      <c r="E102">
        <v>25</v>
      </c>
      <c r="F102">
        <v>28.7</v>
      </c>
      <c r="G102">
        <v>25.7</v>
      </c>
      <c r="H102" s="7">
        <f t="shared" si="13"/>
        <v>1.1167315175097277</v>
      </c>
      <c r="I102">
        <v>25</v>
      </c>
      <c r="J102">
        <v>29.7</v>
      </c>
      <c r="K102">
        <v>28</v>
      </c>
      <c r="L102" s="7">
        <f t="shared" si="14"/>
        <v>1.0607142857142857</v>
      </c>
      <c r="N102">
        <v>25</v>
      </c>
      <c r="O102">
        <v>28.3</v>
      </c>
      <c r="P102">
        <v>29.6</v>
      </c>
      <c r="Q102" s="7">
        <f t="shared" si="15"/>
        <v>0.95608108108108103</v>
      </c>
      <c r="R102">
        <v>25</v>
      </c>
      <c r="S102">
        <v>29</v>
      </c>
      <c r="T102">
        <v>26.3</v>
      </c>
      <c r="U102" s="7">
        <f t="shared" si="16"/>
        <v>1.1026615969581748</v>
      </c>
      <c r="V102">
        <v>25</v>
      </c>
      <c r="W102">
        <v>35.5</v>
      </c>
      <c r="X102">
        <v>30.7</v>
      </c>
      <c r="Y102" s="7">
        <f t="shared" si="17"/>
        <v>1.1563517915309447</v>
      </c>
    </row>
    <row r="103" spans="1:25" x14ac:dyDescent="0.3">
      <c r="A103">
        <v>26</v>
      </c>
      <c r="B103">
        <v>28.3</v>
      </c>
      <c r="C103">
        <v>23.3</v>
      </c>
      <c r="D103" s="7">
        <f t="shared" si="12"/>
        <v>1.2145922746781115</v>
      </c>
      <c r="E103">
        <v>26</v>
      </c>
      <c r="F103">
        <v>27.9</v>
      </c>
      <c r="G103">
        <v>24.3</v>
      </c>
      <c r="H103" s="7">
        <f t="shared" si="13"/>
        <v>1.1481481481481481</v>
      </c>
      <c r="I103">
        <v>26</v>
      </c>
      <c r="J103">
        <v>30.6</v>
      </c>
      <c r="K103">
        <v>29.2</v>
      </c>
      <c r="L103" s="7">
        <f t="shared" si="14"/>
        <v>1.047945205479452</v>
      </c>
      <c r="N103">
        <v>26</v>
      </c>
      <c r="O103">
        <v>28.1</v>
      </c>
      <c r="P103">
        <v>26.6</v>
      </c>
      <c r="Q103" s="7">
        <f t="shared" si="15"/>
        <v>1.0563909774436091</v>
      </c>
      <c r="R103">
        <v>26</v>
      </c>
      <c r="S103">
        <v>27.8</v>
      </c>
      <c r="T103">
        <v>24</v>
      </c>
      <c r="U103" s="7">
        <f t="shared" si="16"/>
        <v>1.1583333333333334</v>
      </c>
      <c r="V103">
        <v>26</v>
      </c>
      <c r="W103">
        <v>33</v>
      </c>
      <c r="X103">
        <v>32.6</v>
      </c>
      <c r="Y103" s="7">
        <f t="shared" si="17"/>
        <v>1.0122699386503067</v>
      </c>
    </row>
    <row r="104" spans="1:25" x14ac:dyDescent="0.3">
      <c r="A104">
        <v>27</v>
      </c>
      <c r="B104">
        <v>29.5</v>
      </c>
      <c r="C104">
        <v>23.2</v>
      </c>
      <c r="D104" s="7">
        <f t="shared" si="12"/>
        <v>1.271551724137931</v>
      </c>
      <c r="E104">
        <v>27</v>
      </c>
      <c r="F104">
        <v>25.7</v>
      </c>
      <c r="G104">
        <v>29.3</v>
      </c>
      <c r="H104" s="7">
        <f t="shared" si="13"/>
        <v>0.87713310580204773</v>
      </c>
      <c r="I104">
        <v>27</v>
      </c>
      <c r="J104">
        <v>34.6</v>
      </c>
      <c r="K104">
        <v>23.9</v>
      </c>
      <c r="L104" s="7">
        <f t="shared" si="14"/>
        <v>1.4476987447698746</v>
      </c>
      <c r="N104">
        <v>27</v>
      </c>
      <c r="O104">
        <v>34.200000000000003</v>
      </c>
      <c r="P104">
        <v>33</v>
      </c>
      <c r="Q104" s="7">
        <f t="shared" si="15"/>
        <v>1.0363636363636364</v>
      </c>
      <c r="R104">
        <v>27</v>
      </c>
      <c r="S104">
        <v>28.6</v>
      </c>
      <c r="T104">
        <v>26.7</v>
      </c>
      <c r="U104" s="7">
        <f t="shared" si="16"/>
        <v>1.0711610486891388</v>
      </c>
      <c r="V104">
        <v>27</v>
      </c>
      <c r="W104">
        <v>30.5</v>
      </c>
      <c r="X104">
        <v>31.5</v>
      </c>
      <c r="Y104" s="7">
        <f t="shared" si="17"/>
        <v>0.96825396825396826</v>
      </c>
    </row>
    <row r="105" spans="1:25" x14ac:dyDescent="0.3">
      <c r="A105">
        <v>28</v>
      </c>
      <c r="B105">
        <v>27.6</v>
      </c>
      <c r="C105">
        <v>24.9</v>
      </c>
      <c r="D105" s="7">
        <f t="shared" si="12"/>
        <v>1.1084337349397591</v>
      </c>
      <c r="E105">
        <v>28</v>
      </c>
      <c r="F105">
        <v>28.8</v>
      </c>
      <c r="G105">
        <v>25.4</v>
      </c>
      <c r="H105" s="7">
        <f t="shared" si="13"/>
        <v>1.1338582677165354</v>
      </c>
      <c r="I105">
        <v>28</v>
      </c>
      <c r="J105">
        <v>31.3</v>
      </c>
      <c r="K105">
        <v>28.5</v>
      </c>
      <c r="L105" s="7">
        <f t="shared" si="14"/>
        <v>1.0982456140350878</v>
      </c>
      <c r="N105">
        <v>28</v>
      </c>
      <c r="O105">
        <v>37.4</v>
      </c>
      <c r="P105">
        <v>34.4</v>
      </c>
      <c r="Q105" s="7">
        <f t="shared" si="15"/>
        <v>1.0872093023255813</v>
      </c>
      <c r="R105">
        <v>28</v>
      </c>
      <c r="S105">
        <v>29.4</v>
      </c>
      <c r="T105">
        <v>26.6</v>
      </c>
      <c r="U105" s="7">
        <f t="shared" si="16"/>
        <v>1.1052631578947367</v>
      </c>
      <c r="V105">
        <v>28</v>
      </c>
      <c r="W105">
        <v>30.2</v>
      </c>
      <c r="X105">
        <v>26.1</v>
      </c>
      <c r="Y105" s="7">
        <f t="shared" si="17"/>
        <v>1.157088122605364</v>
      </c>
    </row>
    <row r="106" spans="1:25" x14ac:dyDescent="0.3">
      <c r="A106">
        <v>29</v>
      </c>
      <c r="B106">
        <v>29.7</v>
      </c>
      <c r="C106">
        <v>27.2</v>
      </c>
      <c r="D106" s="7">
        <f t="shared" si="12"/>
        <v>1.0919117647058822</v>
      </c>
      <c r="E106">
        <v>29</v>
      </c>
      <c r="F106">
        <v>28.4</v>
      </c>
      <c r="G106">
        <v>23.6</v>
      </c>
      <c r="H106" s="7">
        <f t="shared" si="13"/>
        <v>1.2033898305084745</v>
      </c>
      <c r="I106">
        <v>29</v>
      </c>
      <c r="J106">
        <v>24.6</v>
      </c>
      <c r="K106">
        <v>21.7</v>
      </c>
      <c r="L106" s="7">
        <f t="shared" si="14"/>
        <v>1.1336405529953919</v>
      </c>
      <c r="N106">
        <v>29</v>
      </c>
      <c r="O106">
        <v>28.3</v>
      </c>
      <c r="P106">
        <v>26</v>
      </c>
      <c r="Q106" s="7">
        <f t="shared" si="15"/>
        <v>1.0884615384615386</v>
      </c>
      <c r="R106">
        <v>29</v>
      </c>
      <c r="S106">
        <v>31.8</v>
      </c>
      <c r="T106">
        <v>29.1</v>
      </c>
      <c r="U106" s="7">
        <f t="shared" si="16"/>
        <v>1.0927835051546391</v>
      </c>
      <c r="V106">
        <v>29</v>
      </c>
      <c r="W106">
        <v>32.299999999999997</v>
      </c>
      <c r="X106">
        <v>30</v>
      </c>
      <c r="Y106" s="7">
        <f t="shared" si="17"/>
        <v>1.0766666666666667</v>
      </c>
    </row>
    <row r="107" spans="1:25" x14ac:dyDescent="0.3">
      <c r="A107">
        <v>30</v>
      </c>
      <c r="B107">
        <v>32.4</v>
      </c>
      <c r="C107">
        <v>28.4</v>
      </c>
      <c r="D107" s="7">
        <f t="shared" si="12"/>
        <v>1.1408450704225352</v>
      </c>
      <c r="E107">
        <v>30</v>
      </c>
      <c r="F107">
        <v>32.799999999999997</v>
      </c>
      <c r="G107">
        <v>28.7</v>
      </c>
      <c r="H107" s="7">
        <f t="shared" si="13"/>
        <v>1.1428571428571428</v>
      </c>
      <c r="I107">
        <v>30</v>
      </c>
      <c r="J107">
        <v>31.5</v>
      </c>
      <c r="K107">
        <v>28</v>
      </c>
      <c r="L107" s="7">
        <f t="shared" si="14"/>
        <v>1.125</v>
      </c>
      <c r="N107">
        <v>30</v>
      </c>
      <c r="O107">
        <v>33</v>
      </c>
      <c r="P107">
        <v>32.1</v>
      </c>
      <c r="Q107" s="7">
        <f t="shared" si="15"/>
        <v>1.02803738317757</v>
      </c>
      <c r="R107">
        <v>30</v>
      </c>
      <c r="S107">
        <v>30</v>
      </c>
      <c r="T107">
        <v>28.3</v>
      </c>
      <c r="U107" s="7">
        <f t="shared" si="16"/>
        <v>1.0600706713780919</v>
      </c>
      <c r="V107">
        <v>30</v>
      </c>
      <c r="W107">
        <v>29.5</v>
      </c>
      <c r="X107">
        <v>27.8</v>
      </c>
      <c r="Y107" s="7">
        <f t="shared" si="17"/>
        <v>1.0611510791366907</v>
      </c>
    </row>
    <row r="109" spans="1:25" x14ac:dyDescent="0.3">
      <c r="A109" s="23" t="s">
        <v>24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N109" s="23" t="s">
        <v>25</v>
      </c>
      <c r="O109" s="23"/>
      <c r="P109" s="23"/>
      <c r="Q109" s="23"/>
      <c r="R109" s="23"/>
      <c r="S109" s="23"/>
      <c r="T109" s="23"/>
      <c r="U109" s="23"/>
      <c r="V109" s="23"/>
      <c r="W109" s="23"/>
      <c r="X109" s="23"/>
    </row>
    <row r="111" spans="1:25" x14ac:dyDescent="0.3">
      <c r="A111" s="6" t="s">
        <v>3</v>
      </c>
      <c r="E111" s="6" t="s">
        <v>2</v>
      </c>
      <c r="I111" s="6" t="s">
        <v>0</v>
      </c>
      <c r="N111" s="6" t="s">
        <v>3</v>
      </c>
      <c r="R111" s="6" t="s">
        <v>2</v>
      </c>
      <c r="V111" s="6" t="s">
        <v>0</v>
      </c>
    </row>
    <row r="113" spans="1:25" x14ac:dyDescent="0.3">
      <c r="A113" t="s">
        <v>16</v>
      </c>
      <c r="B113" t="s">
        <v>17</v>
      </c>
      <c r="C113" t="s">
        <v>18</v>
      </c>
      <c r="D113" t="s">
        <v>19</v>
      </c>
      <c r="E113" t="s">
        <v>16</v>
      </c>
      <c r="F113" t="s">
        <v>17</v>
      </c>
      <c r="G113" t="s">
        <v>18</v>
      </c>
      <c r="H113" t="s">
        <v>19</v>
      </c>
      <c r="I113" t="s">
        <v>16</v>
      </c>
      <c r="J113" t="s">
        <v>17</v>
      </c>
      <c r="K113" t="s">
        <v>18</v>
      </c>
      <c r="L113" t="s">
        <v>19</v>
      </c>
      <c r="N113" t="s">
        <v>16</v>
      </c>
      <c r="O113" t="s">
        <v>17</v>
      </c>
      <c r="P113" t="s">
        <v>18</v>
      </c>
      <c r="Q113" t="s">
        <v>19</v>
      </c>
      <c r="R113" t="s">
        <v>16</v>
      </c>
      <c r="S113" t="s">
        <v>17</v>
      </c>
      <c r="T113" t="s">
        <v>18</v>
      </c>
      <c r="U113" t="s">
        <v>19</v>
      </c>
      <c r="V113" t="s">
        <v>16</v>
      </c>
      <c r="W113" t="s">
        <v>17</v>
      </c>
      <c r="X113" t="s">
        <v>18</v>
      </c>
      <c r="Y113" t="s">
        <v>19</v>
      </c>
    </row>
    <row r="114" spans="1:25" x14ac:dyDescent="0.3">
      <c r="A114">
        <v>1</v>
      </c>
      <c r="B114" s="2">
        <v>25.546001719690459</v>
      </c>
      <c r="C114" s="2">
        <v>21.504729148753224</v>
      </c>
      <c r="D114" s="7">
        <v>1.187924830067973</v>
      </c>
      <c r="E114">
        <v>1</v>
      </c>
      <c r="F114">
        <v>30.9</v>
      </c>
      <c r="G114">
        <v>28.6</v>
      </c>
      <c r="H114" s="7">
        <f>F114/G114</f>
        <v>1.0804195804195804</v>
      </c>
      <c r="I114">
        <v>1</v>
      </c>
      <c r="J114">
        <v>28.1</v>
      </c>
      <c r="K114">
        <v>23.7</v>
      </c>
      <c r="L114" s="7">
        <f>J114/K114</f>
        <v>1.1856540084388187</v>
      </c>
      <c r="N114">
        <v>1</v>
      </c>
      <c r="O114">
        <v>32.1</v>
      </c>
      <c r="P114">
        <v>29.6</v>
      </c>
      <c r="Q114" s="7">
        <f>O114/P114</f>
        <v>1.0844594594594594</v>
      </c>
      <c r="R114">
        <v>1</v>
      </c>
      <c r="S114">
        <v>31.3</v>
      </c>
      <c r="T114">
        <v>27</v>
      </c>
      <c r="U114" s="7">
        <f>S114/T114</f>
        <v>1.1592592592592592</v>
      </c>
      <c r="V114">
        <v>1</v>
      </c>
      <c r="W114">
        <v>30.8</v>
      </c>
      <c r="X114">
        <v>32.6</v>
      </c>
      <c r="Y114" s="7">
        <f>W114/X114</f>
        <v>0.94478527607361962</v>
      </c>
    </row>
    <row r="115" spans="1:25" x14ac:dyDescent="0.3">
      <c r="A115">
        <v>2</v>
      </c>
      <c r="B115" s="2">
        <v>26.827171109200343</v>
      </c>
      <c r="C115" s="2">
        <v>23.8950988822012</v>
      </c>
      <c r="D115" s="7">
        <v>1.1227060093558836</v>
      </c>
      <c r="E115">
        <v>2</v>
      </c>
      <c r="F115">
        <v>30.7</v>
      </c>
      <c r="G115">
        <v>25</v>
      </c>
      <c r="H115" s="7">
        <f t="shared" ref="H115:H143" si="18">F115/G115</f>
        <v>1.228</v>
      </c>
      <c r="I115">
        <v>2</v>
      </c>
      <c r="J115">
        <v>29.6</v>
      </c>
      <c r="K115">
        <v>22.7</v>
      </c>
      <c r="L115" s="7">
        <f t="shared" ref="L115:L143" si="19">J115/K115</f>
        <v>1.3039647577092512</v>
      </c>
      <c r="N115">
        <v>2</v>
      </c>
      <c r="O115">
        <v>33.4</v>
      </c>
      <c r="P115">
        <v>30.6</v>
      </c>
      <c r="Q115" s="7">
        <f t="shared" ref="Q115:Q143" si="20">O115/P115</f>
        <v>1.0915032679738561</v>
      </c>
      <c r="R115">
        <v>2</v>
      </c>
      <c r="S115">
        <v>27.4</v>
      </c>
      <c r="T115">
        <v>25.6</v>
      </c>
      <c r="U115" s="7">
        <f t="shared" ref="U115:U143" si="21">S115/T115</f>
        <v>1.0703124999999998</v>
      </c>
      <c r="V115">
        <v>2</v>
      </c>
      <c r="W115">
        <v>31.8</v>
      </c>
      <c r="X115">
        <v>30.3</v>
      </c>
      <c r="Y115" s="7">
        <f t="shared" ref="Y115:Y143" si="22">W115/X115</f>
        <v>1.0495049504950495</v>
      </c>
    </row>
    <row r="116" spans="1:25" x14ac:dyDescent="0.3">
      <c r="A116">
        <v>3</v>
      </c>
      <c r="B116" s="2">
        <v>29.019776440240758</v>
      </c>
      <c r="C116" s="2">
        <v>24.419604471195186</v>
      </c>
      <c r="D116" s="7">
        <v>1.1883802816901408</v>
      </c>
      <c r="E116">
        <v>3</v>
      </c>
      <c r="F116">
        <v>30.4</v>
      </c>
      <c r="G116">
        <v>26.1</v>
      </c>
      <c r="H116" s="7">
        <f t="shared" si="18"/>
        <v>1.164750957854406</v>
      </c>
      <c r="I116">
        <v>3</v>
      </c>
      <c r="J116">
        <v>28.2</v>
      </c>
      <c r="K116">
        <v>25.7</v>
      </c>
      <c r="L116" s="7">
        <f t="shared" si="19"/>
        <v>1.0972762645914398</v>
      </c>
      <c r="N116">
        <v>3</v>
      </c>
      <c r="O116">
        <v>33.1</v>
      </c>
      <c r="P116">
        <v>29.7</v>
      </c>
      <c r="Q116" s="7">
        <f t="shared" si="20"/>
        <v>1.1144781144781146</v>
      </c>
      <c r="R116">
        <v>3</v>
      </c>
      <c r="S116">
        <v>31.4</v>
      </c>
      <c r="T116">
        <v>28.3</v>
      </c>
      <c r="U116" s="7">
        <f t="shared" si="21"/>
        <v>1.1095406360424027</v>
      </c>
      <c r="V116">
        <v>3</v>
      </c>
      <c r="W116">
        <v>27.6</v>
      </c>
      <c r="X116">
        <v>26.7</v>
      </c>
      <c r="Y116" s="7">
        <f t="shared" si="22"/>
        <v>1.0337078651685394</v>
      </c>
    </row>
    <row r="117" spans="1:25" x14ac:dyDescent="0.3">
      <c r="A117">
        <v>4</v>
      </c>
      <c r="B117" s="2">
        <v>28.177128116938952</v>
      </c>
      <c r="C117" s="2">
        <v>24.471195184866726</v>
      </c>
      <c r="D117" s="7">
        <v>1.151440618411806</v>
      </c>
      <c r="E117">
        <v>4</v>
      </c>
      <c r="F117">
        <v>31.3</v>
      </c>
      <c r="G117">
        <v>30</v>
      </c>
      <c r="H117" s="7">
        <f t="shared" si="18"/>
        <v>1.0433333333333334</v>
      </c>
      <c r="I117">
        <v>4</v>
      </c>
      <c r="J117">
        <v>28.5</v>
      </c>
      <c r="K117">
        <v>27.7</v>
      </c>
      <c r="L117" s="7">
        <f t="shared" si="19"/>
        <v>1.0288808664259927</v>
      </c>
      <c r="N117">
        <v>4</v>
      </c>
      <c r="O117">
        <v>29</v>
      </c>
      <c r="P117">
        <v>25.4</v>
      </c>
      <c r="Q117" s="7">
        <f t="shared" si="20"/>
        <v>1.1417322834645669</v>
      </c>
      <c r="R117">
        <v>4</v>
      </c>
      <c r="S117">
        <v>30.1</v>
      </c>
      <c r="T117">
        <v>29.7</v>
      </c>
      <c r="U117" s="7">
        <f t="shared" si="21"/>
        <v>1.0134680134680136</v>
      </c>
      <c r="V117">
        <v>4</v>
      </c>
      <c r="W117">
        <v>34.700000000000003</v>
      </c>
      <c r="X117">
        <v>30.6</v>
      </c>
      <c r="Y117" s="7">
        <f t="shared" si="22"/>
        <v>1.1339869281045751</v>
      </c>
    </row>
    <row r="118" spans="1:25" x14ac:dyDescent="0.3">
      <c r="A118">
        <v>5</v>
      </c>
      <c r="B118" s="2">
        <v>24.969905417024933</v>
      </c>
      <c r="C118" s="2">
        <v>21.659501289767842</v>
      </c>
      <c r="D118" s="7">
        <v>1.1528384279475981</v>
      </c>
      <c r="E118">
        <v>5</v>
      </c>
      <c r="F118">
        <v>29</v>
      </c>
      <c r="G118">
        <v>27</v>
      </c>
      <c r="H118" s="7">
        <f t="shared" si="18"/>
        <v>1.0740740740740742</v>
      </c>
      <c r="I118">
        <v>5</v>
      </c>
      <c r="J118">
        <v>30.7</v>
      </c>
      <c r="K118">
        <v>28.6</v>
      </c>
      <c r="L118" s="7">
        <f t="shared" si="19"/>
        <v>1.0734265734265733</v>
      </c>
      <c r="N118">
        <v>5</v>
      </c>
      <c r="O118">
        <v>29.2</v>
      </c>
      <c r="P118">
        <v>28.6</v>
      </c>
      <c r="Q118" s="7">
        <f t="shared" si="20"/>
        <v>1.0209790209790208</v>
      </c>
      <c r="R118">
        <v>5</v>
      </c>
      <c r="S118">
        <v>28.4</v>
      </c>
      <c r="T118">
        <v>25.8</v>
      </c>
      <c r="U118" s="7">
        <f t="shared" si="21"/>
        <v>1.1007751937984496</v>
      </c>
      <c r="V118">
        <v>5</v>
      </c>
      <c r="W118">
        <v>29</v>
      </c>
      <c r="X118">
        <v>28.6</v>
      </c>
      <c r="Y118" s="7">
        <f t="shared" si="22"/>
        <v>1.013986013986014</v>
      </c>
    </row>
    <row r="119" spans="1:25" x14ac:dyDescent="0.3">
      <c r="A119">
        <v>6</v>
      </c>
      <c r="B119" s="2">
        <v>30.653482373172828</v>
      </c>
      <c r="C119" s="2">
        <v>27.042132416165089</v>
      </c>
      <c r="D119" s="7">
        <v>1.1335453100158983</v>
      </c>
      <c r="E119">
        <v>6</v>
      </c>
      <c r="F119">
        <v>26.3</v>
      </c>
      <c r="G119">
        <v>21.9</v>
      </c>
      <c r="H119" s="7">
        <f t="shared" si="18"/>
        <v>1.2009132420091326</v>
      </c>
      <c r="I119">
        <v>6</v>
      </c>
      <c r="J119">
        <v>32.5</v>
      </c>
      <c r="K119">
        <v>28.1</v>
      </c>
      <c r="L119" s="7">
        <f t="shared" si="19"/>
        <v>1.1565836298932384</v>
      </c>
      <c r="N119">
        <v>6</v>
      </c>
      <c r="O119">
        <v>32.200000000000003</v>
      </c>
      <c r="P119">
        <v>28</v>
      </c>
      <c r="Q119" s="7">
        <f t="shared" si="20"/>
        <v>1.1500000000000001</v>
      </c>
      <c r="R119">
        <v>6</v>
      </c>
      <c r="S119">
        <v>32.9</v>
      </c>
      <c r="T119">
        <v>29.9</v>
      </c>
      <c r="U119" s="7">
        <f t="shared" si="21"/>
        <v>1.1003344481605351</v>
      </c>
      <c r="V119">
        <v>6</v>
      </c>
      <c r="W119">
        <v>30.2</v>
      </c>
      <c r="X119">
        <v>27.4</v>
      </c>
      <c r="Y119" s="7">
        <f t="shared" si="22"/>
        <v>1.1021897810218979</v>
      </c>
    </row>
    <row r="120" spans="1:25" x14ac:dyDescent="0.3">
      <c r="A120">
        <v>7</v>
      </c>
      <c r="B120" s="2">
        <v>30.980223559759242</v>
      </c>
      <c r="C120" s="2">
        <v>28.383490971625108</v>
      </c>
      <c r="D120" s="7">
        <v>1.0914874280521054</v>
      </c>
      <c r="E120">
        <v>7</v>
      </c>
      <c r="F120">
        <v>31</v>
      </c>
      <c r="G120">
        <v>26.8</v>
      </c>
      <c r="H120" s="7">
        <f t="shared" si="18"/>
        <v>1.1567164179104477</v>
      </c>
      <c r="I120">
        <v>7</v>
      </c>
      <c r="J120">
        <v>30</v>
      </c>
      <c r="K120">
        <v>25.7</v>
      </c>
      <c r="L120" s="7">
        <f t="shared" si="19"/>
        <v>1.1673151750972763</v>
      </c>
      <c r="N120">
        <v>7</v>
      </c>
      <c r="O120">
        <v>27.2</v>
      </c>
      <c r="P120">
        <v>24.2</v>
      </c>
      <c r="Q120" s="7">
        <f t="shared" si="20"/>
        <v>1.1239669421487604</v>
      </c>
      <c r="R120">
        <v>7</v>
      </c>
      <c r="S120">
        <v>33.9</v>
      </c>
      <c r="T120">
        <v>31.1</v>
      </c>
      <c r="U120" s="7">
        <f t="shared" si="21"/>
        <v>1.090032154340836</v>
      </c>
      <c r="V120">
        <v>7</v>
      </c>
      <c r="W120">
        <v>27.5</v>
      </c>
      <c r="X120">
        <v>25.7</v>
      </c>
      <c r="Y120" s="7">
        <f t="shared" si="22"/>
        <v>1.0700389105058365</v>
      </c>
    </row>
    <row r="121" spans="1:25" x14ac:dyDescent="0.3">
      <c r="A121">
        <v>8</v>
      </c>
      <c r="B121" s="2">
        <v>36.001719690455715</v>
      </c>
      <c r="C121" s="2">
        <v>30.481513327601032</v>
      </c>
      <c r="D121" s="7">
        <v>1.1811001410437234</v>
      </c>
      <c r="E121">
        <v>8</v>
      </c>
      <c r="F121">
        <v>28.6</v>
      </c>
      <c r="G121">
        <v>25.2</v>
      </c>
      <c r="H121" s="7">
        <f t="shared" si="18"/>
        <v>1.1349206349206351</v>
      </c>
      <c r="I121">
        <v>8</v>
      </c>
      <c r="J121">
        <v>29.1</v>
      </c>
      <c r="K121">
        <v>22.6</v>
      </c>
      <c r="L121" s="7">
        <f t="shared" si="19"/>
        <v>1.2876106194690264</v>
      </c>
      <c r="N121">
        <v>8</v>
      </c>
      <c r="O121">
        <v>34.1</v>
      </c>
      <c r="P121">
        <v>31.8</v>
      </c>
      <c r="Q121" s="7">
        <f t="shared" si="20"/>
        <v>1.0723270440251573</v>
      </c>
      <c r="R121">
        <v>8</v>
      </c>
      <c r="S121">
        <v>31.5</v>
      </c>
      <c r="T121">
        <v>27.5</v>
      </c>
      <c r="U121" s="7">
        <f t="shared" si="21"/>
        <v>1.1454545454545455</v>
      </c>
      <c r="V121">
        <v>8</v>
      </c>
      <c r="W121">
        <v>32.6</v>
      </c>
      <c r="X121">
        <v>32.5</v>
      </c>
      <c r="Y121" s="7">
        <f t="shared" si="22"/>
        <v>1.0030769230769232</v>
      </c>
    </row>
    <row r="122" spans="1:25" x14ac:dyDescent="0.3">
      <c r="A122">
        <v>9</v>
      </c>
      <c r="B122" s="2">
        <v>29.3207222699914</v>
      </c>
      <c r="C122" s="2">
        <v>26.526225279449697</v>
      </c>
      <c r="D122" s="7">
        <v>1.1053484602917343</v>
      </c>
      <c r="E122">
        <v>9</v>
      </c>
      <c r="F122">
        <v>26.3</v>
      </c>
      <c r="G122">
        <v>23.3</v>
      </c>
      <c r="H122" s="7">
        <f t="shared" si="18"/>
        <v>1.1287553648068669</v>
      </c>
      <c r="I122">
        <v>9</v>
      </c>
      <c r="J122">
        <v>36.9</v>
      </c>
      <c r="K122">
        <v>30.7</v>
      </c>
      <c r="L122" s="7">
        <f t="shared" si="19"/>
        <v>1.2019543973941369</v>
      </c>
      <c r="N122">
        <v>9</v>
      </c>
      <c r="O122">
        <v>33.200000000000003</v>
      </c>
      <c r="P122">
        <v>30</v>
      </c>
      <c r="Q122" s="7">
        <f t="shared" si="20"/>
        <v>1.1066666666666667</v>
      </c>
      <c r="R122">
        <v>9</v>
      </c>
      <c r="S122">
        <v>30.1</v>
      </c>
      <c r="T122">
        <v>26.9</v>
      </c>
      <c r="U122" s="7">
        <f t="shared" si="21"/>
        <v>1.1189591078066916</v>
      </c>
      <c r="V122">
        <v>9</v>
      </c>
      <c r="W122">
        <v>32.700000000000003</v>
      </c>
      <c r="X122">
        <v>29.5</v>
      </c>
      <c r="Y122" s="7">
        <f t="shared" si="22"/>
        <v>1.1084745762711865</v>
      </c>
    </row>
    <row r="123" spans="1:25" x14ac:dyDescent="0.3">
      <c r="A123">
        <v>10</v>
      </c>
      <c r="B123" s="2">
        <v>34.694754944110059</v>
      </c>
      <c r="C123" s="2">
        <v>27.291487532244194</v>
      </c>
      <c r="D123" s="7">
        <v>1.2712665406427222</v>
      </c>
      <c r="E123">
        <v>10</v>
      </c>
      <c r="F123">
        <v>35.700000000000003</v>
      </c>
      <c r="G123">
        <v>29.9</v>
      </c>
      <c r="H123" s="7">
        <f t="shared" si="18"/>
        <v>1.193979933110368</v>
      </c>
      <c r="I123">
        <v>10</v>
      </c>
      <c r="J123">
        <v>31.7</v>
      </c>
      <c r="K123">
        <v>27.7</v>
      </c>
      <c r="L123" s="7">
        <f t="shared" si="19"/>
        <v>1.144404332129964</v>
      </c>
      <c r="N123">
        <v>10</v>
      </c>
      <c r="O123">
        <v>30.8</v>
      </c>
      <c r="P123">
        <v>26</v>
      </c>
      <c r="Q123" s="7">
        <f t="shared" si="20"/>
        <v>1.1846153846153846</v>
      </c>
      <c r="R123">
        <v>10</v>
      </c>
      <c r="S123">
        <v>30.1</v>
      </c>
      <c r="T123">
        <v>30.3</v>
      </c>
      <c r="U123" s="7">
        <f t="shared" si="21"/>
        <v>0.99339933993399343</v>
      </c>
      <c r="V123">
        <v>10</v>
      </c>
      <c r="W123">
        <v>31.9</v>
      </c>
      <c r="X123">
        <v>30.2</v>
      </c>
      <c r="Y123" s="7">
        <f t="shared" si="22"/>
        <v>1.0562913907284768</v>
      </c>
    </row>
    <row r="124" spans="1:25" x14ac:dyDescent="0.3">
      <c r="A124">
        <v>11</v>
      </c>
      <c r="B124" s="2">
        <v>33.404987102321584</v>
      </c>
      <c r="C124" s="2">
        <v>33.086844368013757</v>
      </c>
      <c r="D124" s="7">
        <v>1.0096153846153846</v>
      </c>
      <c r="E124">
        <v>11</v>
      </c>
      <c r="F124">
        <v>31</v>
      </c>
      <c r="G124">
        <v>27</v>
      </c>
      <c r="H124" s="7">
        <f t="shared" si="18"/>
        <v>1.1481481481481481</v>
      </c>
      <c r="I124">
        <v>11</v>
      </c>
      <c r="J124">
        <v>32.299999999999997</v>
      </c>
      <c r="K124">
        <v>26.9</v>
      </c>
      <c r="L124" s="7">
        <f t="shared" si="19"/>
        <v>1.2007434944237918</v>
      </c>
      <c r="N124">
        <v>11</v>
      </c>
      <c r="O124">
        <v>31</v>
      </c>
      <c r="P124">
        <v>29.8</v>
      </c>
      <c r="Q124" s="7">
        <f t="shared" si="20"/>
        <v>1.0402684563758389</v>
      </c>
      <c r="R124">
        <v>11</v>
      </c>
      <c r="S124">
        <v>28.2</v>
      </c>
      <c r="T124">
        <v>28.8</v>
      </c>
      <c r="U124" s="7">
        <f t="shared" si="21"/>
        <v>0.97916666666666663</v>
      </c>
      <c r="V124">
        <v>11</v>
      </c>
      <c r="W124">
        <v>30.1</v>
      </c>
      <c r="X124">
        <v>29</v>
      </c>
      <c r="Y124" s="7">
        <f t="shared" si="22"/>
        <v>1.0379310344827586</v>
      </c>
    </row>
    <row r="125" spans="1:25" x14ac:dyDescent="0.3">
      <c r="A125">
        <v>12</v>
      </c>
      <c r="B125" s="2">
        <v>30.068787618228718</v>
      </c>
      <c r="C125" s="2">
        <v>22.803095442820293</v>
      </c>
      <c r="D125" s="7">
        <v>1.3186274509803921</v>
      </c>
      <c r="E125">
        <v>12</v>
      </c>
      <c r="F125">
        <v>30.4</v>
      </c>
      <c r="G125">
        <v>26.4</v>
      </c>
      <c r="H125" s="7">
        <f t="shared" si="18"/>
        <v>1.1515151515151516</v>
      </c>
      <c r="I125">
        <v>12</v>
      </c>
      <c r="J125">
        <v>37.700000000000003</v>
      </c>
      <c r="K125">
        <v>32.200000000000003</v>
      </c>
      <c r="L125" s="7">
        <f t="shared" si="19"/>
        <v>1.170807453416149</v>
      </c>
      <c r="N125">
        <v>12</v>
      </c>
      <c r="O125">
        <v>29.5</v>
      </c>
      <c r="P125">
        <v>28.7</v>
      </c>
      <c r="Q125" s="7">
        <f t="shared" si="20"/>
        <v>1.0278745644599303</v>
      </c>
      <c r="R125">
        <v>12</v>
      </c>
      <c r="S125">
        <v>30.5</v>
      </c>
      <c r="T125">
        <v>29.1</v>
      </c>
      <c r="U125" s="7">
        <f t="shared" si="21"/>
        <v>1.0481099656357389</v>
      </c>
      <c r="V125">
        <v>12</v>
      </c>
      <c r="W125">
        <v>30.1</v>
      </c>
      <c r="X125">
        <v>27.6</v>
      </c>
      <c r="Y125" s="7">
        <f t="shared" si="22"/>
        <v>1.0905797101449275</v>
      </c>
    </row>
    <row r="126" spans="1:25" x14ac:dyDescent="0.3">
      <c r="A126">
        <v>13</v>
      </c>
      <c r="B126" s="2">
        <v>30.275150472914877</v>
      </c>
      <c r="C126" s="2">
        <v>26.182287188306105</v>
      </c>
      <c r="D126" s="7">
        <v>1.1563218390804597</v>
      </c>
      <c r="E126">
        <v>13</v>
      </c>
      <c r="F126">
        <v>36.299999999999997</v>
      </c>
      <c r="G126">
        <v>32.6</v>
      </c>
      <c r="H126" s="7">
        <f t="shared" si="18"/>
        <v>1.1134969325153372</v>
      </c>
      <c r="I126">
        <v>13</v>
      </c>
      <c r="J126">
        <v>31.6</v>
      </c>
      <c r="K126">
        <v>28.8</v>
      </c>
      <c r="L126" s="7">
        <f t="shared" si="19"/>
        <v>1.0972222222222223</v>
      </c>
      <c r="N126">
        <v>13</v>
      </c>
      <c r="O126">
        <v>29.6</v>
      </c>
      <c r="P126">
        <v>25.4</v>
      </c>
      <c r="Q126" s="7">
        <f t="shared" si="20"/>
        <v>1.1653543307086616</v>
      </c>
      <c r="R126">
        <v>13</v>
      </c>
      <c r="S126">
        <v>35.700000000000003</v>
      </c>
      <c r="T126">
        <v>33.5</v>
      </c>
      <c r="U126" s="7">
        <f t="shared" si="21"/>
        <v>1.0656716417910448</v>
      </c>
      <c r="V126">
        <v>13</v>
      </c>
      <c r="W126">
        <v>28.7</v>
      </c>
      <c r="X126">
        <v>27.7</v>
      </c>
      <c r="Y126" s="7">
        <f t="shared" si="22"/>
        <v>1.036101083032491</v>
      </c>
    </row>
    <row r="127" spans="1:25" x14ac:dyDescent="0.3">
      <c r="A127">
        <v>14</v>
      </c>
      <c r="B127" s="2">
        <v>30.670679277730009</v>
      </c>
      <c r="C127" s="2">
        <v>25.760963026655205</v>
      </c>
      <c r="D127" s="7">
        <v>1.1905874499332443</v>
      </c>
      <c r="E127">
        <v>14</v>
      </c>
      <c r="F127">
        <v>27.5</v>
      </c>
      <c r="G127">
        <v>25.4</v>
      </c>
      <c r="H127" s="7">
        <f t="shared" si="18"/>
        <v>1.0826771653543308</v>
      </c>
      <c r="I127">
        <v>14</v>
      </c>
      <c r="J127">
        <v>25.4</v>
      </c>
      <c r="K127">
        <v>21.4</v>
      </c>
      <c r="L127" s="7">
        <f t="shared" si="19"/>
        <v>1.1869158878504673</v>
      </c>
      <c r="N127">
        <v>14</v>
      </c>
      <c r="O127">
        <v>29.8</v>
      </c>
      <c r="P127">
        <v>28.3</v>
      </c>
      <c r="Q127" s="7">
        <f t="shared" si="20"/>
        <v>1.0530035335689045</v>
      </c>
      <c r="R127">
        <v>14</v>
      </c>
      <c r="S127">
        <v>26.2</v>
      </c>
      <c r="T127">
        <v>27.4</v>
      </c>
      <c r="U127" s="7">
        <f t="shared" si="21"/>
        <v>0.95620437956204385</v>
      </c>
      <c r="V127">
        <v>14</v>
      </c>
      <c r="W127">
        <v>30.4</v>
      </c>
      <c r="X127">
        <v>27.2</v>
      </c>
      <c r="Y127" s="7">
        <f t="shared" si="22"/>
        <v>1.1176470588235294</v>
      </c>
    </row>
    <row r="128" spans="1:25" x14ac:dyDescent="0.3">
      <c r="A128">
        <v>15</v>
      </c>
      <c r="B128" s="2">
        <v>34.548581255374032</v>
      </c>
      <c r="C128" s="2">
        <v>27.876182287188307</v>
      </c>
      <c r="D128" s="7">
        <v>1.2393584207279456</v>
      </c>
      <c r="E128">
        <v>15</v>
      </c>
      <c r="F128">
        <v>27.9</v>
      </c>
      <c r="G128">
        <v>24.1</v>
      </c>
      <c r="H128" s="7">
        <f t="shared" si="18"/>
        <v>1.1576763485477177</v>
      </c>
      <c r="I128">
        <v>15</v>
      </c>
      <c r="J128">
        <v>32.799999999999997</v>
      </c>
      <c r="K128">
        <v>28.4</v>
      </c>
      <c r="L128" s="7">
        <f t="shared" si="19"/>
        <v>1.1549295774647887</v>
      </c>
      <c r="N128">
        <v>15</v>
      </c>
      <c r="O128">
        <v>28.2</v>
      </c>
      <c r="P128">
        <v>25.8</v>
      </c>
      <c r="Q128" s="7">
        <f t="shared" si="20"/>
        <v>1.0930232558139534</v>
      </c>
      <c r="R128">
        <v>15</v>
      </c>
      <c r="S128">
        <v>32.700000000000003</v>
      </c>
      <c r="T128">
        <v>29.4</v>
      </c>
      <c r="U128" s="7">
        <f t="shared" si="21"/>
        <v>1.1122448979591839</v>
      </c>
      <c r="V128">
        <v>15</v>
      </c>
      <c r="W128">
        <v>30.4</v>
      </c>
      <c r="X128">
        <v>29.4</v>
      </c>
      <c r="Y128" s="7">
        <f t="shared" si="22"/>
        <v>1.0340136054421769</v>
      </c>
    </row>
    <row r="129" spans="1:25" x14ac:dyDescent="0.3">
      <c r="A129">
        <v>16</v>
      </c>
      <c r="B129" s="2">
        <v>27.55803955288048</v>
      </c>
      <c r="C129" s="2">
        <v>23.654342218400689</v>
      </c>
      <c r="D129" s="7">
        <v>1.1650308978553252</v>
      </c>
      <c r="E129">
        <v>16</v>
      </c>
      <c r="F129">
        <v>33</v>
      </c>
      <c r="G129">
        <v>30.1</v>
      </c>
      <c r="H129" s="7">
        <f t="shared" si="18"/>
        <v>1.096345514950166</v>
      </c>
      <c r="I129">
        <v>16</v>
      </c>
      <c r="J129">
        <v>32.6</v>
      </c>
      <c r="K129">
        <v>28.4</v>
      </c>
      <c r="L129" s="7">
        <f t="shared" si="19"/>
        <v>1.147887323943662</v>
      </c>
      <c r="N129">
        <v>16</v>
      </c>
      <c r="O129">
        <v>28.4</v>
      </c>
      <c r="P129">
        <v>25</v>
      </c>
      <c r="Q129" s="7">
        <f t="shared" si="20"/>
        <v>1.1359999999999999</v>
      </c>
      <c r="R129">
        <v>16</v>
      </c>
      <c r="S129">
        <v>29</v>
      </c>
      <c r="T129">
        <v>29.3</v>
      </c>
      <c r="U129" s="7">
        <f t="shared" si="21"/>
        <v>0.98976109215017061</v>
      </c>
      <c r="V129">
        <v>16</v>
      </c>
      <c r="W129">
        <v>29.2</v>
      </c>
      <c r="X129">
        <v>26.3</v>
      </c>
      <c r="Y129" s="7">
        <f t="shared" si="22"/>
        <v>1.1102661596958174</v>
      </c>
    </row>
    <row r="130" spans="1:25" x14ac:dyDescent="0.3">
      <c r="A130">
        <v>17</v>
      </c>
      <c r="B130" s="2">
        <v>29.905417024935513</v>
      </c>
      <c r="C130" s="2">
        <v>24.961306964746345</v>
      </c>
      <c r="D130" s="7">
        <v>1.1980709610747504</v>
      </c>
      <c r="E130">
        <v>17</v>
      </c>
      <c r="F130">
        <v>27.5</v>
      </c>
      <c r="G130">
        <v>24.5</v>
      </c>
      <c r="H130" s="7">
        <f t="shared" si="18"/>
        <v>1.1224489795918366</v>
      </c>
      <c r="I130">
        <v>17</v>
      </c>
      <c r="J130">
        <v>30.3</v>
      </c>
      <c r="K130">
        <v>28</v>
      </c>
      <c r="L130" s="7">
        <f t="shared" si="19"/>
        <v>1.0821428571428571</v>
      </c>
      <c r="N130">
        <v>17</v>
      </c>
      <c r="O130">
        <v>36.299999999999997</v>
      </c>
      <c r="P130">
        <v>35.299999999999997</v>
      </c>
      <c r="Q130" s="7">
        <f t="shared" si="20"/>
        <v>1.0283286118980171</v>
      </c>
      <c r="R130">
        <v>17</v>
      </c>
      <c r="S130">
        <v>31.8</v>
      </c>
      <c r="T130">
        <v>29</v>
      </c>
      <c r="U130" s="7">
        <f t="shared" si="21"/>
        <v>1.096551724137931</v>
      </c>
      <c r="V130">
        <v>17</v>
      </c>
      <c r="W130">
        <v>28</v>
      </c>
      <c r="X130">
        <v>29.1</v>
      </c>
      <c r="Y130" s="7">
        <f t="shared" si="22"/>
        <v>0.96219931271477654</v>
      </c>
    </row>
    <row r="131" spans="1:25" x14ac:dyDescent="0.3">
      <c r="A131">
        <v>18</v>
      </c>
      <c r="B131" s="2">
        <v>27.68701633705933</v>
      </c>
      <c r="C131" s="2">
        <v>24.153052450558896</v>
      </c>
      <c r="D131" s="7">
        <v>1.1463154147383412</v>
      </c>
      <c r="E131">
        <v>18</v>
      </c>
      <c r="F131">
        <v>29</v>
      </c>
      <c r="G131">
        <v>25.3</v>
      </c>
      <c r="H131" s="7">
        <f t="shared" si="18"/>
        <v>1.1462450592885376</v>
      </c>
      <c r="I131">
        <v>18</v>
      </c>
      <c r="J131">
        <v>37.299999999999997</v>
      </c>
      <c r="K131">
        <v>30.8</v>
      </c>
      <c r="L131" s="7">
        <f t="shared" si="19"/>
        <v>1.2110389610389609</v>
      </c>
      <c r="N131">
        <v>18</v>
      </c>
      <c r="O131">
        <v>29.1</v>
      </c>
      <c r="P131">
        <v>27.4</v>
      </c>
      <c r="Q131" s="7">
        <f t="shared" si="20"/>
        <v>1.062043795620438</v>
      </c>
      <c r="R131">
        <v>18</v>
      </c>
      <c r="S131">
        <v>27.3</v>
      </c>
      <c r="T131">
        <v>25.3</v>
      </c>
      <c r="U131" s="7">
        <f t="shared" si="21"/>
        <v>1.0790513833992095</v>
      </c>
      <c r="V131">
        <v>18</v>
      </c>
      <c r="W131">
        <v>28</v>
      </c>
      <c r="X131">
        <v>25</v>
      </c>
      <c r="Y131" s="7">
        <f t="shared" si="22"/>
        <v>1.1200000000000001</v>
      </c>
    </row>
    <row r="132" spans="1:25" x14ac:dyDescent="0.3">
      <c r="A132">
        <v>19</v>
      </c>
      <c r="B132" s="2">
        <v>29.432502149613068</v>
      </c>
      <c r="C132" s="2">
        <v>26.208082545141874</v>
      </c>
      <c r="D132" s="7">
        <v>1.1230314960629921</v>
      </c>
      <c r="E132">
        <v>19</v>
      </c>
      <c r="F132">
        <v>31.7</v>
      </c>
      <c r="G132">
        <v>26.3</v>
      </c>
      <c r="H132" s="7">
        <f t="shared" si="18"/>
        <v>1.2053231939163498</v>
      </c>
      <c r="I132">
        <v>19</v>
      </c>
      <c r="J132">
        <v>32.1</v>
      </c>
      <c r="K132">
        <v>27.2</v>
      </c>
      <c r="L132" s="7">
        <f t="shared" si="19"/>
        <v>1.1801470588235294</v>
      </c>
      <c r="N132">
        <v>19</v>
      </c>
      <c r="O132">
        <v>30.4</v>
      </c>
      <c r="P132">
        <v>28.6</v>
      </c>
      <c r="Q132" s="7">
        <f t="shared" si="20"/>
        <v>1.0629370629370629</v>
      </c>
      <c r="R132">
        <v>19</v>
      </c>
      <c r="S132">
        <v>35.200000000000003</v>
      </c>
      <c r="T132">
        <v>31.7</v>
      </c>
      <c r="U132" s="7">
        <f t="shared" si="21"/>
        <v>1.1104100946372242</v>
      </c>
      <c r="V132">
        <v>19</v>
      </c>
      <c r="W132">
        <v>34.5</v>
      </c>
      <c r="X132">
        <v>28.4</v>
      </c>
      <c r="Y132" s="7">
        <f t="shared" si="22"/>
        <v>1.2147887323943662</v>
      </c>
    </row>
    <row r="133" spans="1:25" x14ac:dyDescent="0.3">
      <c r="A133">
        <v>20</v>
      </c>
      <c r="B133" s="2">
        <v>30.515907136715391</v>
      </c>
      <c r="C133" s="2">
        <v>28.383490971625108</v>
      </c>
      <c r="D133" s="7">
        <v>1.0751287488639807</v>
      </c>
      <c r="E133">
        <v>20</v>
      </c>
      <c r="F133">
        <v>30.6</v>
      </c>
      <c r="G133">
        <v>26.4</v>
      </c>
      <c r="H133" s="7">
        <f t="shared" si="18"/>
        <v>1.1590909090909092</v>
      </c>
      <c r="I133">
        <v>20</v>
      </c>
      <c r="J133">
        <v>31.9</v>
      </c>
      <c r="K133">
        <v>28</v>
      </c>
      <c r="L133" s="7">
        <f t="shared" si="19"/>
        <v>1.1392857142857142</v>
      </c>
      <c r="N133">
        <v>20</v>
      </c>
      <c r="O133">
        <v>30.5</v>
      </c>
      <c r="P133">
        <v>28.5</v>
      </c>
      <c r="Q133" s="7">
        <f t="shared" si="20"/>
        <v>1.0701754385964912</v>
      </c>
      <c r="R133">
        <v>20</v>
      </c>
      <c r="S133">
        <v>36</v>
      </c>
      <c r="T133">
        <v>33.200000000000003</v>
      </c>
      <c r="U133" s="7">
        <f t="shared" si="21"/>
        <v>1.0843373493975903</v>
      </c>
      <c r="V133">
        <v>20</v>
      </c>
      <c r="W133">
        <v>27.6</v>
      </c>
      <c r="X133">
        <v>26.1</v>
      </c>
      <c r="Y133" s="7">
        <f t="shared" si="22"/>
        <v>1.0574712643678161</v>
      </c>
    </row>
    <row r="134" spans="1:25" x14ac:dyDescent="0.3">
      <c r="A134">
        <v>21</v>
      </c>
      <c r="B134" s="2">
        <v>29.4067067927773</v>
      </c>
      <c r="C134" s="2">
        <v>26.414445399828033</v>
      </c>
      <c r="D134" s="7">
        <v>1.11328125</v>
      </c>
      <c r="E134">
        <v>21</v>
      </c>
      <c r="F134">
        <v>31.3</v>
      </c>
      <c r="G134">
        <v>27.2</v>
      </c>
      <c r="H134" s="7">
        <f t="shared" si="18"/>
        <v>1.1507352941176472</v>
      </c>
      <c r="I134">
        <v>21</v>
      </c>
      <c r="J134">
        <v>32</v>
      </c>
      <c r="K134">
        <v>28.1</v>
      </c>
      <c r="L134" s="7">
        <f t="shared" si="19"/>
        <v>1.1387900355871885</v>
      </c>
      <c r="N134">
        <v>21</v>
      </c>
      <c r="O134">
        <v>35.4</v>
      </c>
      <c r="P134">
        <v>32</v>
      </c>
      <c r="Q134" s="7">
        <f t="shared" si="20"/>
        <v>1.10625</v>
      </c>
      <c r="R134">
        <v>21</v>
      </c>
      <c r="S134">
        <v>31.4</v>
      </c>
      <c r="T134">
        <v>29</v>
      </c>
      <c r="U134" s="7">
        <f t="shared" si="21"/>
        <v>1.0827586206896551</v>
      </c>
      <c r="V134">
        <v>21</v>
      </c>
      <c r="W134">
        <v>33.200000000000003</v>
      </c>
      <c r="X134">
        <v>31.4</v>
      </c>
      <c r="Y134" s="7">
        <f t="shared" si="22"/>
        <v>1.0573248407643314</v>
      </c>
    </row>
    <row r="135" spans="1:25" x14ac:dyDescent="0.3">
      <c r="A135">
        <v>22</v>
      </c>
      <c r="B135" s="2">
        <v>36.818572656921752</v>
      </c>
      <c r="C135" s="2">
        <v>30.730868443680137</v>
      </c>
      <c r="D135" s="7">
        <v>1.1980973698936765</v>
      </c>
      <c r="E135">
        <v>22</v>
      </c>
      <c r="F135">
        <v>28</v>
      </c>
      <c r="G135">
        <v>24.4</v>
      </c>
      <c r="H135" s="7">
        <f t="shared" si="18"/>
        <v>1.1475409836065575</v>
      </c>
      <c r="I135">
        <v>22</v>
      </c>
      <c r="J135">
        <v>38.4</v>
      </c>
      <c r="K135">
        <v>31.4</v>
      </c>
      <c r="L135" s="7">
        <f t="shared" si="19"/>
        <v>1.2229299363057324</v>
      </c>
      <c r="N135">
        <v>22</v>
      </c>
      <c r="O135">
        <v>35.799999999999997</v>
      </c>
      <c r="P135">
        <v>33</v>
      </c>
      <c r="Q135" s="7">
        <f t="shared" si="20"/>
        <v>1.0848484848484847</v>
      </c>
      <c r="R135">
        <v>22</v>
      </c>
      <c r="S135">
        <v>30.8</v>
      </c>
      <c r="T135">
        <v>27.1</v>
      </c>
      <c r="U135" s="7">
        <f t="shared" si="21"/>
        <v>1.1365313653136531</v>
      </c>
      <c r="V135">
        <v>22</v>
      </c>
      <c r="W135">
        <v>29.9</v>
      </c>
      <c r="X135">
        <v>26.8</v>
      </c>
      <c r="Y135" s="7">
        <f t="shared" si="22"/>
        <v>1.1156716417910446</v>
      </c>
    </row>
    <row r="136" spans="1:25" x14ac:dyDescent="0.3">
      <c r="A136">
        <v>23</v>
      </c>
      <c r="B136" s="2">
        <v>34.144453998280312</v>
      </c>
      <c r="C136" s="2">
        <v>30.051590713671541</v>
      </c>
      <c r="D136" s="7">
        <v>1.1361945636623749</v>
      </c>
      <c r="E136">
        <v>23</v>
      </c>
      <c r="F136">
        <v>30.4</v>
      </c>
      <c r="G136">
        <v>25.3</v>
      </c>
      <c r="H136" s="7">
        <f t="shared" si="18"/>
        <v>1.2015810276679841</v>
      </c>
      <c r="I136">
        <v>23</v>
      </c>
      <c r="J136">
        <v>31.3</v>
      </c>
      <c r="K136">
        <v>27.1</v>
      </c>
      <c r="L136" s="7">
        <f t="shared" si="19"/>
        <v>1.1549815498154981</v>
      </c>
      <c r="N136">
        <v>23</v>
      </c>
      <c r="O136">
        <v>26.7</v>
      </c>
      <c r="P136">
        <v>25.9</v>
      </c>
      <c r="Q136" s="7">
        <f t="shared" si="20"/>
        <v>1.0308880308880308</v>
      </c>
      <c r="R136">
        <v>23</v>
      </c>
      <c r="S136">
        <v>36.299999999999997</v>
      </c>
      <c r="T136">
        <v>34.200000000000003</v>
      </c>
      <c r="U136" s="7">
        <f t="shared" si="21"/>
        <v>1.0614035087719296</v>
      </c>
      <c r="V136">
        <v>23</v>
      </c>
      <c r="W136">
        <v>31.9</v>
      </c>
      <c r="X136">
        <v>29.2</v>
      </c>
      <c r="Y136" s="7">
        <f t="shared" si="22"/>
        <v>1.0924657534246576</v>
      </c>
    </row>
    <row r="137" spans="1:25" x14ac:dyDescent="0.3">
      <c r="A137">
        <v>24</v>
      </c>
      <c r="B137" s="2">
        <v>36.483233018056751</v>
      </c>
      <c r="C137" s="2">
        <v>28.503869303525367</v>
      </c>
      <c r="D137" s="7">
        <v>1.2799396681749622</v>
      </c>
      <c r="E137">
        <v>24</v>
      </c>
      <c r="F137">
        <v>28.7</v>
      </c>
      <c r="G137">
        <v>23.3</v>
      </c>
      <c r="H137" s="7">
        <f t="shared" si="18"/>
        <v>1.2317596566523605</v>
      </c>
      <c r="I137">
        <v>24</v>
      </c>
      <c r="J137">
        <v>37.299999999999997</v>
      </c>
      <c r="K137">
        <v>31.6</v>
      </c>
      <c r="L137" s="7">
        <f t="shared" si="19"/>
        <v>1.1803797468354429</v>
      </c>
      <c r="N137">
        <v>24</v>
      </c>
      <c r="O137">
        <v>30</v>
      </c>
      <c r="P137">
        <v>27.8</v>
      </c>
      <c r="Q137" s="7">
        <f t="shared" si="20"/>
        <v>1.079136690647482</v>
      </c>
      <c r="R137">
        <v>24</v>
      </c>
      <c r="S137">
        <v>31.2</v>
      </c>
      <c r="T137">
        <v>29.6</v>
      </c>
      <c r="U137" s="7">
        <f t="shared" si="21"/>
        <v>1.0540540540540539</v>
      </c>
      <c r="V137">
        <v>24</v>
      </c>
      <c r="W137">
        <v>29.2</v>
      </c>
      <c r="X137">
        <v>26.7</v>
      </c>
      <c r="Y137" s="7">
        <f t="shared" si="22"/>
        <v>1.0936329588014981</v>
      </c>
    </row>
    <row r="138" spans="1:25" x14ac:dyDescent="0.3">
      <c r="A138">
        <v>25</v>
      </c>
      <c r="B138" s="2">
        <v>30.653482373172828</v>
      </c>
      <c r="C138" s="2">
        <v>25.898538263112641</v>
      </c>
      <c r="D138" s="7">
        <v>1.1835989375830012</v>
      </c>
      <c r="E138">
        <v>25</v>
      </c>
      <c r="F138">
        <v>31.8</v>
      </c>
      <c r="G138">
        <v>32</v>
      </c>
      <c r="H138" s="7">
        <f t="shared" si="18"/>
        <v>0.99375000000000002</v>
      </c>
      <c r="I138">
        <v>25</v>
      </c>
      <c r="J138">
        <v>30.5</v>
      </c>
      <c r="K138">
        <v>27.2</v>
      </c>
      <c r="L138" s="7">
        <f t="shared" si="19"/>
        <v>1.1213235294117647</v>
      </c>
      <c r="N138">
        <v>25</v>
      </c>
      <c r="O138">
        <v>33.799999999999997</v>
      </c>
      <c r="P138">
        <v>31.5</v>
      </c>
      <c r="Q138" s="7">
        <f t="shared" si="20"/>
        <v>1.073015873015873</v>
      </c>
      <c r="R138">
        <v>25</v>
      </c>
      <c r="S138">
        <v>26.1</v>
      </c>
      <c r="T138">
        <v>24</v>
      </c>
      <c r="U138" s="7">
        <f t="shared" si="21"/>
        <v>1.0875000000000001</v>
      </c>
      <c r="V138">
        <v>25</v>
      </c>
      <c r="W138">
        <v>31.7</v>
      </c>
      <c r="X138">
        <v>27.7</v>
      </c>
      <c r="Y138" s="7">
        <f t="shared" si="22"/>
        <v>1.144404332129964</v>
      </c>
    </row>
    <row r="139" spans="1:25" x14ac:dyDescent="0.3">
      <c r="A139">
        <v>26</v>
      </c>
      <c r="B139" s="2">
        <v>28.168529664660365</v>
      </c>
      <c r="C139" s="2">
        <v>24.290627687016336</v>
      </c>
      <c r="D139" s="7">
        <v>1.1596460176991152</v>
      </c>
      <c r="E139">
        <v>26</v>
      </c>
      <c r="F139">
        <v>26.9</v>
      </c>
      <c r="G139">
        <v>23.5</v>
      </c>
      <c r="H139" s="7">
        <f t="shared" si="18"/>
        <v>1.1446808510638298</v>
      </c>
      <c r="I139">
        <v>26</v>
      </c>
      <c r="J139">
        <v>29.8</v>
      </c>
      <c r="K139">
        <v>27.9</v>
      </c>
      <c r="L139" s="7">
        <f t="shared" si="19"/>
        <v>1.0681003584229392</v>
      </c>
      <c r="N139">
        <v>26</v>
      </c>
      <c r="O139">
        <v>30.6</v>
      </c>
      <c r="P139">
        <v>28.5</v>
      </c>
      <c r="Q139" s="7">
        <f t="shared" si="20"/>
        <v>1.0736842105263158</v>
      </c>
      <c r="R139">
        <v>26</v>
      </c>
      <c r="S139">
        <v>26</v>
      </c>
      <c r="T139">
        <v>27.5</v>
      </c>
      <c r="U139" s="7">
        <f t="shared" si="21"/>
        <v>0.94545454545454544</v>
      </c>
      <c r="V139">
        <v>26</v>
      </c>
      <c r="W139">
        <v>30.6</v>
      </c>
      <c r="X139">
        <v>26.4</v>
      </c>
      <c r="Y139" s="7">
        <f t="shared" si="22"/>
        <v>1.1590909090909092</v>
      </c>
    </row>
    <row r="140" spans="1:25" x14ac:dyDescent="0.3">
      <c r="A140">
        <v>27</v>
      </c>
      <c r="B140" s="2">
        <v>28.856405846947549</v>
      </c>
      <c r="C140" s="2">
        <v>25.073086844368017</v>
      </c>
      <c r="D140" s="7">
        <v>1.1508916323731138</v>
      </c>
      <c r="E140">
        <v>27</v>
      </c>
      <c r="F140">
        <v>27.2</v>
      </c>
      <c r="G140">
        <v>23.4</v>
      </c>
      <c r="H140" s="7">
        <f t="shared" si="18"/>
        <v>1.1623931623931625</v>
      </c>
      <c r="I140">
        <v>27</v>
      </c>
      <c r="J140">
        <v>25.4</v>
      </c>
      <c r="K140">
        <v>23.8</v>
      </c>
      <c r="L140" s="7">
        <f t="shared" si="19"/>
        <v>1.0672268907563025</v>
      </c>
      <c r="N140">
        <v>27</v>
      </c>
      <c r="O140">
        <v>26.1</v>
      </c>
      <c r="P140">
        <v>25.9</v>
      </c>
      <c r="Q140" s="7">
        <f t="shared" si="20"/>
        <v>1.0077220077220079</v>
      </c>
      <c r="R140">
        <v>27</v>
      </c>
      <c r="S140">
        <v>33.799999999999997</v>
      </c>
      <c r="T140">
        <v>30</v>
      </c>
      <c r="U140" s="7">
        <f t="shared" si="21"/>
        <v>1.1266666666666665</v>
      </c>
      <c r="V140">
        <v>27</v>
      </c>
      <c r="W140">
        <v>29.3</v>
      </c>
      <c r="X140">
        <v>26.2</v>
      </c>
      <c r="Y140" s="7">
        <f t="shared" si="22"/>
        <v>1.1183206106870229</v>
      </c>
    </row>
    <row r="141" spans="1:25" x14ac:dyDescent="0.3">
      <c r="A141">
        <v>28</v>
      </c>
      <c r="B141" s="2">
        <v>31.650902837489252</v>
      </c>
      <c r="C141" s="2">
        <v>27.119518486672394</v>
      </c>
      <c r="D141" s="7">
        <v>1.1670894102726699</v>
      </c>
      <c r="E141">
        <v>28</v>
      </c>
      <c r="F141">
        <v>28.6</v>
      </c>
      <c r="G141">
        <v>23.6</v>
      </c>
      <c r="H141" s="7">
        <f t="shared" si="18"/>
        <v>1.2118644067796609</v>
      </c>
      <c r="I141">
        <v>28</v>
      </c>
      <c r="J141">
        <v>31.2</v>
      </c>
      <c r="K141">
        <v>26.4</v>
      </c>
      <c r="L141" s="7">
        <f t="shared" si="19"/>
        <v>1.1818181818181819</v>
      </c>
      <c r="N141">
        <v>28</v>
      </c>
      <c r="O141">
        <v>29</v>
      </c>
      <c r="P141">
        <v>26.3</v>
      </c>
      <c r="Q141" s="7">
        <f t="shared" si="20"/>
        <v>1.1026615969581748</v>
      </c>
      <c r="R141">
        <v>28</v>
      </c>
      <c r="S141">
        <v>28.3</v>
      </c>
      <c r="T141">
        <v>24</v>
      </c>
      <c r="U141" s="7">
        <f t="shared" si="21"/>
        <v>1.1791666666666667</v>
      </c>
      <c r="V141">
        <v>28</v>
      </c>
      <c r="W141">
        <v>32.4</v>
      </c>
      <c r="X141">
        <v>31.4</v>
      </c>
      <c r="Y141" s="7">
        <f t="shared" si="22"/>
        <v>1.0318471337579618</v>
      </c>
    </row>
    <row r="142" spans="1:25" x14ac:dyDescent="0.3">
      <c r="A142">
        <v>29</v>
      </c>
      <c r="B142" s="2">
        <v>29.509888220120377</v>
      </c>
      <c r="C142" s="2">
        <v>23.129836629406707</v>
      </c>
      <c r="D142" s="7">
        <v>1.2758364312267658</v>
      </c>
      <c r="E142">
        <v>29</v>
      </c>
      <c r="F142">
        <v>28.2</v>
      </c>
      <c r="G142">
        <v>26.4</v>
      </c>
      <c r="H142" s="7">
        <f t="shared" si="18"/>
        <v>1.0681818181818181</v>
      </c>
      <c r="I142">
        <v>29</v>
      </c>
      <c r="J142">
        <v>28.9</v>
      </c>
      <c r="K142">
        <v>26.9</v>
      </c>
      <c r="L142" s="7">
        <f t="shared" si="19"/>
        <v>1.0743494423791822</v>
      </c>
      <c r="N142">
        <v>29</v>
      </c>
      <c r="O142">
        <v>31</v>
      </c>
      <c r="P142">
        <v>28.9</v>
      </c>
      <c r="Q142" s="7">
        <f t="shared" si="20"/>
        <v>1.0726643598615917</v>
      </c>
      <c r="R142">
        <v>29</v>
      </c>
      <c r="S142">
        <v>30.2</v>
      </c>
      <c r="T142">
        <v>28.8</v>
      </c>
      <c r="U142" s="7">
        <f t="shared" si="21"/>
        <v>1.0486111111111112</v>
      </c>
      <c r="V142">
        <v>29</v>
      </c>
      <c r="W142">
        <v>35.700000000000003</v>
      </c>
      <c r="X142">
        <v>35</v>
      </c>
      <c r="Y142" s="7">
        <f t="shared" si="22"/>
        <v>1.02</v>
      </c>
    </row>
    <row r="143" spans="1:25" x14ac:dyDescent="0.3">
      <c r="A143">
        <v>30</v>
      </c>
      <c r="B143" s="2">
        <v>25.391229578675837</v>
      </c>
      <c r="C143" s="2">
        <v>24.127257093723134</v>
      </c>
      <c r="D143" s="7">
        <v>1.0523877405559512</v>
      </c>
      <c r="E143">
        <v>30</v>
      </c>
      <c r="F143">
        <v>29</v>
      </c>
      <c r="G143">
        <v>24.5</v>
      </c>
      <c r="H143" s="7">
        <f t="shared" si="18"/>
        <v>1.1836734693877551</v>
      </c>
      <c r="I143">
        <v>30</v>
      </c>
      <c r="J143">
        <v>26.5</v>
      </c>
      <c r="K143">
        <v>23.9</v>
      </c>
      <c r="L143" s="7">
        <f t="shared" si="19"/>
        <v>1.1087866108786613</v>
      </c>
      <c r="N143">
        <v>30</v>
      </c>
      <c r="O143">
        <v>31.2</v>
      </c>
      <c r="P143">
        <v>30.1</v>
      </c>
      <c r="Q143" s="7">
        <f t="shared" si="20"/>
        <v>1.0365448504983388</v>
      </c>
      <c r="R143">
        <v>30</v>
      </c>
      <c r="S143">
        <v>30.6</v>
      </c>
      <c r="T143">
        <v>26.7</v>
      </c>
      <c r="U143" s="7">
        <f t="shared" si="21"/>
        <v>1.1460674157303372</v>
      </c>
      <c r="V143">
        <v>30</v>
      </c>
      <c r="W143">
        <v>32.799999999999997</v>
      </c>
      <c r="X143">
        <v>31.5</v>
      </c>
      <c r="Y143" s="7">
        <f t="shared" si="22"/>
        <v>1.0412698412698411</v>
      </c>
    </row>
    <row r="145" spans="1:25" x14ac:dyDescent="0.3">
      <c r="A145" s="23" t="s">
        <v>26</v>
      </c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N145" s="23" t="s">
        <v>27</v>
      </c>
      <c r="O145" s="23"/>
      <c r="P145" s="23"/>
      <c r="Q145" s="23"/>
      <c r="R145" s="23"/>
      <c r="S145" s="23"/>
      <c r="T145" s="23"/>
      <c r="U145" s="23"/>
      <c r="V145" s="23"/>
      <c r="W145" s="23"/>
      <c r="X145" s="23"/>
    </row>
    <row r="147" spans="1:25" x14ac:dyDescent="0.3">
      <c r="A147" s="6" t="s">
        <v>3</v>
      </c>
      <c r="E147" s="6" t="s">
        <v>2</v>
      </c>
      <c r="I147" s="6" t="s">
        <v>0</v>
      </c>
      <c r="N147" s="6" t="s">
        <v>3</v>
      </c>
      <c r="R147" s="6" t="s">
        <v>2</v>
      </c>
      <c r="V147" s="6" t="s">
        <v>0</v>
      </c>
    </row>
    <row r="148" spans="1:25" x14ac:dyDescent="0.3">
      <c r="A148" t="s">
        <v>16</v>
      </c>
      <c r="B148" t="s">
        <v>17</v>
      </c>
      <c r="C148" t="s">
        <v>18</v>
      </c>
      <c r="D148" t="s">
        <v>19</v>
      </c>
      <c r="E148" t="s">
        <v>16</v>
      </c>
      <c r="F148" t="s">
        <v>17</v>
      </c>
      <c r="G148" t="s">
        <v>18</v>
      </c>
      <c r="H148" t="s">
        <v>19</v>
      </c>
      <c r="I148" t="s">
        <v>16</v>
      </c>
      <c r="J148" t="s">
        <v>17</v>
      </c>
      <c r="K148" t="s">
        <v>18</v>
      </c>
      <c r="L148" t="s">
        <v>19</v>
      </c>
      <c r="N148" t="s">
        <v>16</v>
      </c>
      <c r="O148" t="s">
        <v>17</v>
      </c>
      <c r="P148" t="s">
        <v>18</v>
      </c>
      <c r="Q148" t="s">
        <v>19</v>
      </c>
      <c r="R148" t="s">
        <v>16</v>
      </c>
      <c r="S148" t="s">
        <v>17</v>
      </c>
      <c r="T148" t="s">
        <v>18</v>
      </c>
      <c r="U148" t="s">
        <v>19</v>
      </c>
      <c r="V148" t="s">
        <v>16</v>
      </c>
      <c r="W148" t="s">
        <v>17</v>
      </c>
      <c r="X148" t="s">
        <v>18</v>
      </c>
      <c r="Y148" t="s">
        <v>19</v>
      </c>
    </row>
    <row r="149" spans="1:25" x14ac:dyDescent="0.3">
      <c r="A149">
        <v>1</v>
      </c>
      <c r="B149">
        <v>34.9</v>
      </c>
      <c r="C149">
        <v>27.7</v>
      </c>
      <c r="D149" s="7">
        <f>B149/C149</f>
        <v>1.2599277978339349</v>
      </c>
      <c r="E149">
        <v>1</v>
      </c>
      <c r="F149">
        <v>29.7</v>
      </c>
      <c r="G149">
        <v>23.9</v>
      </c>
      <c r="H149" s="7">
        <f>F149/G149</f>
        <v>1.2426778242677825</v>
      </c>
      <c r="I149">
        <v>1</v>
      </c>
      <c r="J149">
        <v>25.8</v>
      </c>
      <c r="K149">
        <v>19.899999999999999</v>
      </c>
      <c r="L149" s="7">
        <f>J149/K149</f>
        <v>1.2964824120603016</v>
      </c>
      <c r="N149">
        <v>1</v>
      </c>
      <c r="O149">
        <v>26.3</v>
      </c>
      <c r="P149">
        <v>23.9</v>
      </c>
      <c r="Q149" s="7">
        <f>O149/P149</f>
        <v>1.100418410041841</v>
      </c>
      <c r="R149">
        <v>1</v>
      </c>
      <c r="S149">
        <v>28.5</v>
      </c>
      <c r="T149">
        <v>25.7</v>
      </c>
      <c r="U149" s="7">
        <f>S149/T149</f>
        <v>1.1089494163424125</v>
      </c>
      <c r="V149">
        <v>1</v>
      </c>
      <c r="W149">
        <v>31</v>
      </c>
      <c r="X149">
        <v>26.4</v>
      </c>
      <c r="Y149" s="7">
        <f>W149/X149</f>
        <v>1.1742424242424243</v>
      </c>
    </row>
    <row r="150" spans="1:25" x14ac:dyDescent="0.3">
      <c r="A150">
        <v>2</v>
      </c>
      <c r="B150">
        <v>30.8</v>
      </c>
      <c r="C150">
        <v>24.3</v>
      </c>
      <c r="D150" s="7">
        <f t="shared" ref="D150:D178" si="23">B150/C150</f>
        <v>1.2674897119341564</v>
      </c>
      <c r="E150">
        <v>2</v>
      </c>
      <c r="F150">
        <v>28.6</v>
      </c>
      <c r="G150">
        <v>24.5</v>
      </c>
      <c r="H150" s="7">
        <f t="shared" ref="H150:H178" si="24">F150/G150</f>
        <v>1.1673469387755102</v>
      </c>
      <c r="I150">
        <v>2</v>
      </c>
      <c r="J150">
        <v>28.6</v>
      </c>
      <c r="K150">
        <v>23.5</v>
      </c>
      <c r="L150" s="7">
        <f t="shared" ref="L150:L178" si="25">J150/K150</f>
        <v>1.2170212765957447</v>
      </c>
      <c r="N150">
        <v>2</v>
      </c>
      <c r="O150">
        <v>33.1</v>
      </c>
      <c r="P150">
        <v>25.9</v>
      </c>
      <c r="Q150" s="7">
        <f t="shared" ref="Q150:Q178" si="26">O150/P150</f>
        <v>1.2779922779922781</v>
      </c>
      <c r="R150">
        <v>2</v>
      </c>
      <c r="S150">
        <v>29.5</v>
      </c>
      <c r="T150">
        <v>26.9</v>
      </c>
      <c r="U150" s="7">
        <f t="shared" ref="U150:U178" si="27">S150/T150</f>
        <v>1.0966542750929369</v>
      </c>
      <c r="V150">
        <v>2</v>
      </c>
      <c r="W150">
        <v>28.2</v>
      </c>
      <c r="X150">
        <v>25.2</v>
      </c>
      <c r="Y150" s="7">
        <f t="shared" ref="Y150:Y178" si="28">W150/X150</f>
        <v>1.1190476190476191</v>
      </c>
    </row>
    <row r="151" spans="1:25" x14ac:dyDescent="0.3">
      <c r="A151">
        <v>3</v>
      </c>
      <c r="B151">
        <v>29.4</v>
      </c>
      <c r="C151">
        <v>22.5</v>
      </c>
      <c r="D151" s="7">
        <f t="shared" si="23"/>
        <v>1.3066666666666666</v>
      </c>
      <c r="E151">
        <v>3</v>
      </c>
      <c r="F151">
        <v>29.6</v>
      </c>
      <c r="G151">
        <v>24.4</v>
      </c>
      <c r="H151" s="7">
        <f t="shared" si="24"/>
        <v>1.2131147540983609</v>
      </c>
      <c r="I151">
        <v>3</v>
      </c>
      <c r="J151">
        <v>28.6</v>
      </c>
      <c r="K151">
        <v>24.9</v>
      </c>
      <c r="L151" s="7">
        <f t="shared" si="25"/>
        <v>1.1485943775100402</v>
      </c>
      <c r="N151">
        <v>3</v>
      </c>
      <c r="O151">
        <v>31.8</v>
      </c>
      <c r="P151">
        <v>28.4</v>
      </c>
      <c r="Q151" s="7">
        <f t="shared" si="26"/>
        <v>1.119718309859155</v>
      </c>
      <c r="R151">
        <v>3</v>
      </c>
      <c r="S151">
        <v>32.1</v>
      </c>
      <c r="T151">
        <v>33.200000000000003</v>
      </c>
      <c r="U151" s="7">
        <f t="shared" si="27"/>
        <v>0.96686746987951799</v>
      </c>
      <c r="V151">
        <v>3</v>
      </c>
      <c r="W151">
        <v>32.5</v>
      </c>
      <c r="X151">
        <v>28.6</v>
      </c>
      <c r="Y151" s="7">
        <f t="shared" si="28"/>
        <v>1.1363636363636362</v>
      </c>
    </row>
    <row r="152" spans="1:25" x14ac:dyDescent="0.3">
      <c r="A152">
        <v>4</v>
      </c>
      <c r="B152">
        <v>28.7</v>
      </c>
      <c r="C152">
        <v>24.5</v>
      </c>
      <c r="D152" s="7">
        <f t="shared" si="23"/>
        <v>1.1714285714285715</v>
      </c>
      <c r="E152">
        <v>4</v>
      </c>
      <c r="F152">
        <v>24.6</v>
      </c>
      <c r="G152">
        <v>20.3</v>
      </c>
      <c r="H152" s="7">
        <f t="shared" si="24"/>
        <v>1.2118226600985222</v>
      </c>
      <c r="I152">
        <v>4</v>
      </c>
      <c r="J152">
        <v>24.2</v>
      </c>
      <c r="K152">
        <v>21.5</v>
      </c>
      <c r="L152" s="7">
        <f t="shared" si="25"/>
        <v>1.1255813953488372</v>
      </c>
      <c r="N152">
        <v>4</v>
      </c>
      <c r="O152">
        <v>32.200000000000003</v>
      </c>
      <c r="P152">
        <v>27.3</v>
      </c>
      <c r="Q152" s="7">
        <f t="shared" si="26"/>
        <v>1.1794871794871795</v>
      </c>
      <c r="R152">
        <v>4</v>
      </c>
      <c r="S152">
        <v>28.3</v>
      </c>
      <c r="T152">
        <v>25.2</v>
      </c>
      <c r="U152" s="7">
        <f t="shared" si="27"/>
        <v>1.123015873015873</v>
      </c>
      <c r="V152">
        <v>4</v>
      </c>
      <c r="W152">
        <v>29.8</v>
      </c>
      <c r="X152">
        <v>25.8</v>
      </c>
      <c r="Y152" s="7">
        <f t="shared" si="28"/>
        <v>1.1550387596899225</v>
      </c>
    </row>
    <row r="153" spans="1:25" x14ac:dyDescent="0.3">
      <c r="A153">
        <v>5</v>
      </c>
      <c r="B153">
        <v>26.4</v>
      </c>
      <c r="C153">
        <v>23.5</v>
      </c>
      <c r="D153" s="7">
        <f t="shared" si="23"/>
        <v>1.1234042553191488</v>
      </c>
      <c r="E153">
        <v>5</v>
      </c>
      <c r="F153">
        <v>27.8</v>
      </c>
      <c r="G153">
        <v>20.6</v>
      </c>
      <c r="H153" s="7">
        <f t="shared" si="24"/>
        <v>1.349514563106796</v>
      </c>
      <c r="I153">
        <v>5</v>
      </c>
      <c r="J153">
        <v>26.7</v>
      </c>
      <c r="K153">
        <v>20.3</v>
      </c>
      <c r="L153" s="7">
        <f t="shared" si="25"/>
        <v>1.315270935960591</v>
      </c>
      <c r="N153">
        <v>5</v>
      </c>
      <c r="O153">
        <v>34.700000000000003</v>
      </c>
      <c r="P153">
        <v>31</v>
      </c>
      <c r="Q153" s="7">
        <f t="shared" si="26"/>
        <v>1.1193548387096774</v>
      </c>
      <c r="R153">
        <v>5</v>
      </c>
      <c r="S153">
        <v>29.8</v>
      </c>
      <c r="T153">
        <v>27.7</v>
      </c>
      <c r="U153" s="7">
        <f t="shared" si="27"/>
        <v>1.075812274368231</v>
      </c>
      <c r="V153">
        <v>5</v>
      </c>
      <c r="W153">
        <v>25</v>
      </c>
      <c r="X153">
        <v>23.2</v>
      </c>
      <c r="Y153" s="7">
        <f t="shared" si="28"/>
        <v>1.0775862068965518</v>
      </c>
    </row>
    <row r="154" spans="1:25" x14ac:dyDescent="0.3">
      <c r="A154">
        <v>6</v>
      </c>
      <c r="B154">
        <v>25.5</v>
      </c>
      <c r="C154">
        <v>22</v>
      </c>
      <c r="D154" s="7">
        <f t="shared" si="23"/>
        <v>1.1590909090909092</v>
      </c>
      <c r="E154">
        <v>6</v>
      </c>
      <c r="F154">
        <v>28.9</v>
      </c>
      <c r="G154">
        <v>24.4</v>
      </c>
      <c r="H154" s="7">
        <f t="shared" si="24"/>
        <v>1.1844262295081966</v>
      </c>
      <c r="I154">
        <v>6</v>
      </c>
      <c r="J154">
        <v>27.4</v>
      </c>
      <c r="K154">
        <v>24.9</v>
      </c>
      <c r="L154" s="7">
        <f t="shared" si="25"/>
        <v>1.1004016064257027</v>
      </c>
      <c r="N154">
        <v>6</v>
      </c>
      <c r="O154">
        <v>30.8</v>
      </c>
      <c r="P154">
        <v>25.3</v>
      </c>
      <c r="Q154" s="7">
        <f t="shared" si="26"/>
        <v>1.2173913043478262</v>
      </c>
      <c r="R154">
        <v>6</v>
      </c>
      <c r="S154">
        <v>32.4</v>
      </c>
      <c r="T154">
        <v>29.6</v>
      </c>
      <c r="U154" s="7">
        <f t="shared" si="27"/>
        <v>1.0945945945945945</v>
      </c>
      <c r="V154">
        <v>6</v>
      </c>
      <c r="W154">
        <v>31.7</v>
      </c>
      <c r="X154">
        <v>28.5</v>
      </c>
      <c r="Y154" s="7">
        <f t="shared" si="28"/>
        <v>1.1122807017543859</v>
      </c>
    </row>
    <row r="155" spans="1:25" x14ac:dyDescent="0.3">
      <c r="A155">
        <v>7</v>
      </c>
      <c r="B155">
        <v>26.9</v>
      </c>
      <c r="C155">
        <v>23.8</v>
      </c>
      <c r="D155" s="7">
        <f t="shared" si="23"/>
        <v>1.1302521008403361</v>
      </c>
      <c r="E155">
        <v>7</v>
      </c>
      <c r="F155">
        <v>35.799999999999997</v>
      </c>
      <c r="G155">
        <v>29.5</v>
      </c>
      <c r="H155" s="7">
        <f t="shared" si="24"/>
        <v>1.2135593220338983</v>
      </c>
      <c r="I155">
        <v>7</v>
      </c>
      <c r="J155">
        <v>34.299999999999997</v>
      </c>
      <c r="K155">
        <v>28</v>
      </c>
      <c r="L155" s="7">
        <f t="shared" si="25"/>
        <v>1.2249999999999999</v>
      </c>
      <c r="N155">
        <v>7</v>
      </c>
      <c r="O155">
        <v>36.200000000000003</v>
      </c>
      <c r="P155">
        <v>31.1</v>
      </c>
      <c r="Q155" s="7">
        <f t="shared" si="26"/>
        <v>1.1639871382636657</v>
      </c>
      <c r="R155">
        <v>7</v>
      </c>
      <c r="S155">
        <v>31.4</v>
      </c>
      <c r="T155">
        <v>26.7</v>
      </c>
      <c r="U155" s="7">
        <f t="shared" si="27"/>
        <v>1.1760299625468165</v>
      </c>
      <c r="V155">
        <v>7</v>
      </c>
      <c r="W155">
        <v>34.6</v>
      </c>
      <c r="X155">
        <v>29.9</v>
      </c>
      <c r="Y155" s="7">
        <f t="shared" si="28"/>
        <v>1.1571906354515051</v>
      </c>
    </row>
    <row r="156" spans="1:25" x14ac:dyDescent="0.3">
      <c r="A156">
        <v>8</v>
      </c>
      <c r="B156">
        <v>26.8</v>
      </c>
      <c r="C156">
        <v>21.4</v>
      </c>
      <c r="D156" s="7">
        <f t="shared" si="23"/>
        <v>1.252336448598131</v>
      </c>
      <c r="E156">
        <v>8</v>
      </c>
      <c r="F156">
        <v>29.8</v>
      </c>
      <c r="G156">
        <v>25.1</v>
      </c>
      <c r="H156" s="7">
        <f t="shared" si="24"/>
        <v>1.1872509960159363</v>
      </c>
      <c r="I156">
        <v>8</v>
      </c>
      <c r="J156">
        <v>24.9</v>
      </c>
      <c r="K156">
        <v>23.4</v>
      </c>
      <c r="L156" s="7">
        <f t="shared" si="25"/>
        <v>1.0641025641025641</v>
      </c>
      <c r="N156">
        <v>8</v>
      </c>
      <c r="O156">
        <v>34.700000000000003</v>
      </c>
      <c r="P156">
        <v>30.7</v>
      </c>
      <c r="Q156" s="7">
        <f t="shared" si="26"/>
        <v>1.1302931596091206</v>
      </c>
      <c r="R156">
        <v>8</v>
      </c>
      <c r="S156">
        <v>32.299999999999997</v>
      </c>
      <c r="T156">
        <v>27.4</v>
      </c>
      <c r="U156" s="7">
        <f t="shared" si="27"/>
        <v>1.1788321167883211</v>
      </c>
      <c r="V156">
        <v>8</v>
      </c>
      <c r="W156">
        <v>26.8</v>
      </c>
      <c r="X156">
        <v>22.6</v>
      </c>
      <c r="Y156" s="7">
        <f t="shared" si="28"/>
        <v>1.1858407079646018</v>
      </c>
    </row>
    <row r="157" spans="1:25" x14ac:dyDescent="0.3">
      <c r="A157">
        <v>9</v>
      </c>
      <c r="B157">
        <v>27.3</v>
      </c>
      <c r="C157">
        <v>23.9</v>
      </c>
      <c r="D157" s="7">
        <f t="shared" si="23"/>
        <v>1.1422594142259415</v>
      </c>
      <c r="E157">
        <v>9</v>
      </c>
      <c r="F157">
        <v>32.700000000000003</v>
      </c>
      <c r="G157">
        <v>27.8</v>
      </c>
      <c r="H157" s="7">
        <f t="shared" si="24"/>
        <v>1.1762589928057554</v>
      </c>
      <c r="I157">
        <v>9</v>
      </c>
      <c r="J157">
        <v>26.8</v>
      </c>
      <c r="K157">
        <v>23.3</v>
      </c>
      <c r="L157" s="7">
        <f t="shared" si="25"/>
        <v>1.150214592274678</v>
      </c>
      <c r="N157">
        <v>9</v>
      </c>
      <c r="O157">
        <v>28.3</v>
      </c>
      <c r="P157">
        <v>23.1</v>
      </c>
      <c r="Q157" s="7">
        <f t="shared" si="26"/>
        <v>1.225108225108225</v>
      </c>
      <c r="R157">
        <v>9</v>
      </c>
      <c r="S157">
        <v>31.8</v>
      </c>
      <c r="T157">
        <v>29.1</v>
      </c>
      <c r="U157" s="7">
        <f t="shared" si="27"/>
        <v>1.0927835051546391</v>
      </c>
      <c r="V157">
        <v>9</v>
      </c>
      <c r="W157">
        <v>32.799999999999997</v>
      </c>
      <c r="X157">
        <v>31.5</v>
      </c>
      <c r="Y157" s="7">
        <f t="shared" si="28"/>
        <v>1.0412698412698411</v>
      </c>
    </row>
    <row r="158" spans="1:25" x14ac:dyDescent="0.3">
      <c r="A158">
        <v>10</v>
      </c>
      <c r="B158">
        <v>28.1</v>
      </c>
      <c r="C158">
        <v>22.1</v>
      </c>
      <c r="D158" s="7">
        <f t="shared" si="23"/>
        <v>1.2714932126696832</v>
      </c>
      <c r="E158">
        <v>10</v>
      </c>
      <c r="F158">
        <v>28.4</v>
      </c>
      <c r="G158">
        <v>24.1</v>
      </c>
      <c r="H158" s="7">
        <f t="shared" si="24"/>
        <v>1.1784232365145226</v>
      </c>
      <c r="I158">
        <v>10</v>
      </c>
      <c r="J158">
        <v>29</v>
      </c>
      <c r="K158">
        <v>23.5</v>
      </c>
      <c r="L158" s="7">
        <f t="shared" si="25"/>
        <v>1.2340425531914894</v>
      </c>
      <c r="N158">
        <v>10</v>
      </c>
      <c r="O158">
        <v>31</v>
      </c>
      <c r="P158">
        <v>27.3</v>
      </c>
      <c r="Q158" s="7">
        <f t="shared" si="26"/>
        <v>1.1355311355311355</v>
      </c>
      <c r="R158">
        <v>10</v>
      </c>
      <c r="S158">
        <v>28</v>
      </c>
      <c r="T158">
        <v>24.8</v>
      </c>
      <c r="U158" s="7">
        <f t="shared" si="27"/>
        <v>1.129032258064516</v>
      </c>
      <c r="V158">
        <v>10</v>
      </c>
      <c r="W158">
        <v>28</v>
      </c>
      <c r="X158">
        <v>24.1</v>
      </c>
      <c r="Y158" s="7">
        <f t="shared" si="28"/>
        <v>1.1618257261410787</v>
      </c>
    </row>
    <row r="159" spans="1:25" x14ac:dyDescent="0.3">
      <c r="A159">
        <v>11</v>
      </c>
      <c r="B159">
        <v>26.3</v>
      </c>
      <c r="C159">
        <v>21.5</v>
      </c>
      <c r="D159" s="7">
        <f t="shared" si="23"/>
        <v>1.2232558139534884</v>
      </c>
      <c r="E159">
        <v>11</v>
      </c>
      <c r="F159">
        <v>30.8</v>
      </c>
      <c r="G159">
        <v>26.3</v>
      </c>
      <c r="H159" s="7">
        <f t="shared" si="24"/>
        <v>1.1711026615969582</v>
      </c>
      <c r="I159">
        <v>11</v>
      </c>
      <c r="J159">
        <v>26.2</v>
      </c>
      <c r="K159">
        <v>22.6</v>
      </c>
      <c r="L159" s="7">
        <f t="shared" si="25"/>
        <v>1.1592920353982299</v>
      </c>
      <c r="N159">
        <v>11</v>
      </c>
      <c r="O159">
        <v>35.4</v>
      </c>
      <c r="P159">
        <v>32.5</v>
      </c>
      <c r="Q159" s="7">
        <f t="shared" si="26"/>
        <v>1.0892307692307692</v>
      </c>
      <c r="R159">
        <v>11</v>
      </c>
      <c r="S159">
        <v>29.2</v>
      </c>
      <c r="T159">
        <v>25.3</v>
      </c>
      <c r="U159" s="7">
        <f t="shared" si="27"/>
        <v>1.1541501976284585</v>
      </c>
      <c r="V159">
        <v>11</v>
      </c>
      <c r="W159">
        <v>35.200000000000003</v>
      </c>
      <c r="X159">
        <v>27.3</v>
      </c>
      <c r="Y159" s="7">
        <f t="shared" si="28"/>
        <v>1.2893772893772895</v>
      </c>
    </row>
    <row r="160" spans="1:25" x14ac:dyDescent="0.3">
      <c r="A160">
        <v>12</v>
      </c>
      <c r="B160">
        <v>27.2</v>
      </c>
      <c r="C160">
        <v>23.2</v>
      </c>
      <c r="D160" s="7">
        <f t="shared" si="23"/>
        <v>1.1724137931034482</v>
      </c>
      <c r="E160">
        <v>12</v>
      </c>
      <c r="F160">
        <v>26.8</v>
      </c>
      <c r="G160">
        <v>22.2</v>
      </c>
      <c r="H160" s="7">
        <f t="shared" si="24"/>
        <v>1.2072072072072073</v>
      </c>
      <c r="I160">
        <v>12</v>
      </c>
      <c r="J160">
        <v>29.1</v>
      </c>
      <c r="K160">
        <v>23.8</v>
      </c>
      <c r="L160" s="7">
        <f t="shared" si="25"/>
        <v>1.2226890756302522</v>
      </c>
      <c r="N160">
        <v>12</v>
      </c>
      <c r="O160">
        <v>31.2</v>
      </c>
      <c r="P160">
        <v>28.2</v>
      </c>
      <c r="Q160" s="7">
        <f t="shared" si="26"/>
        <v>1.1063829787234043</v>
      </c>
      <c r="R160">
        <v>12</v>
      </c>
      <c r="S160">
        <v>25.3</v>
      </c>
      <c r="T160">
        <v>21.8</v>
      </c>
      <c r="U160" s="7">
        <f t="shared" si="27"/>
        <v>1.1605504587155964</v>
      </c>
      <c r="V160">
        <v>12</v>
      </c>
      <c r="W160">
        <v>28.8</v>
      </c>
      <c r="X160">
        <v>27.4</v>
      </c>
      <c r="Y160" s="7">
        <f t="shared" si="28"/>
        <v>1.051094890510949</v>
      </c>
    </row>
    <row r="161" spans="1:25" x14ac:dyDescent="0.3">
      <c r="A161">
        <v>13</v>
      </c>
      <c r="B161">
        <v>28.5</v>
      </c>
      <c r="C161">
        <v>23.5</v>
      </c>
      <c r="D161" s="7">
        <f t="shared" si="23"/>
        <v>1.2127659574468086</v>
      </c>
      <c r="E161">
        <v>13</v>
      </c>
      <c r="F161">
        <v>27.6</v>
      </c>
      <c r="G161">
        <v>22.6</v>
      </c>
      <c r="H161" s="7">
        <f t="shared" si="24"/>
        <v>1.2212389380530972</v>
      </c>
      <c r="I161">
        <v>13</v>
      </c>
      <c r="J161">
        <v>26.2</v>
      </c>
      <c r="K161">
        <v>20.6</v>
      </c>
      <c r="L161" s="7">
        <f t="shared" si="25"/>
        <v>1.2718446601941746</v>
      </c>
      <c r="N161">
        <v>13</v>
      </c>
      <c r="O161">
        <v>32</v>
      </c>
      <c r="P161">
        <v>27.1</v>
      </c>
      <c r="Q161" s="7">
        <f t="shared" si="26"/>
        <v>1.1808118081180812</v>
      </c>
      <c r="R161">
        <v>13</v>
      </c>
      <c r="S161">
        <v>30.5</v>
      </c>
      <c r="T161">
        <v>26.1</v>
      </c>
      <c r="U161" s="7">
        <f t="shared" si="27"/>
        <v>1.1685823754789271</v>
      </c>
      <c r="V161">
        <v>13</v>
      </c>
      <c r="W161">
        <v>27.2</v>
      </c>
      <c r="X161">
        <v>24.4</v>
      </c>
      <c r="Y161" s="7">
        <f t="shared" si="28"/>
        <v>1.1147540983606559</v>
      </c>
    </row>
    <row r="162" spans="1:25" x14ac:dyDescent="0.3">
      <c r="A162">
        <v>14</v>
      </c>
      <c r="B162">
        <v>29.2</v>
      </c>
      <c r="C162">
        <v>25.7</v>
      </c>
      <c r="D162" s="7">
        <f t="shared" si="23"/>
        <v>1.1361867704280155</v>
      </c>
      <c r="E162">
        <v>14</v>
      </c>
      <c r="F162">
        <v>28.3</v>
      </c>
      <c r="G162">
        <v>24.1</v>
      </c>
      <c r="H162" s="7">
        <f t="shared" si="24"/>
        <v>1.1742738589211619</v>
      </c>
      <c r="I162">
        <v>14</v>
      </c>
      <c r="J162">
        <v>31.1</v>
      </c>
      <c r="K162">
        <v>24.4</v>
      </c>
      <c r="L162" s="7">
        <f t="shared" si="25"/>
        <v>1.2745901639344264</v>
      </c>
      <c r="N162">
        <v>14</v>
      </c>
      <c r="O162">
        <v>32.1</v>
      </c>
      <c r="P162">
        <v>25.8</v>
      </c>
      <c r="Q162" s="7">
        <f t="shared" si="26"/>
        <v>1.2441860465116279</v>
      </c>
      <c r="R162">
        <v>14</v>
      </c>
      <c r="S162">
        <v>28.9</v>
      </c>
      <c r="T162">
        <v>26.2</v>
      </c>
      <c r="U162" s="7">
        <f t="shared" si="27"/>
        <v>1.1030534351145038</v>
      </c>
      <c r="V162">
        <v>14</v>
      </c>
      <c r="W162">
        <v>33.4</v>
      </c>
      <c r="X162">
        <v>28.1</v>
      </c>
      <c r="Y162" s="7">
        <f t="shared" si="28"/>
        <v>1.1886120996441281</v>
      </c>
    </row>
    <row r="163" spans="1:25" x14ac:dyDescent="0.3">
      <c r="A163">
        <v>15</v>
      </c>
      <c r="B163">
        <v>30.8</v>
      </c>
      <c r="C163">
        <v>25.5</v>
      </c>
      <c r="D163" s="7">
        <f t="shared" si="23"/>
        <v>1.2078431372549019</v>
      </c>
      <c r="E163">
        <v>15</v>
      </c>
      <c r="F163">
        <v>29.6</v>
      </c>
      <c r="G163">
        <v>26.4</v>
      </c>
      <c r="H163" s="7">
        <f t="shared" si="24"/>
        <v>1.1212121212121213</v>
      </c>
      <c r="I163">
        <v>15</v>
      </c>
      <c r="J163">
        <v>25</v>
      </c>
      <c r="K163">
        <v>22.6</v>
      </c>
      <c r="L163" s="7">
        <f t="shared" si="25"/>
        <v>1.1061946902654867</v>
      </c>
      <c r="N163">
        <v>15</v>
      </c>
      <c r="O163">
        <v>35.9</v>
      </c>
      <c r="P163">
        <v>30.7</v>
      </c>
      <c r="Q163" s="7">
        <f t="shared" si="26"/>
        <v>1.1693811074918568</v>
      </c>
      <c r="R163">
        <v>15</v>
      </c>
      <c r="S163">
        <v>33</v>
      </c>
      <c r="T163">
        <v>27.1</v>
      </c>
      <c r="U163" s="7">
        <f t="shared" si="27"/>
        <v>1.2177121771217712</v>
      </c>
      <c r="V163">
        <v>15</v>
      </c>
      <c r="W163">
        <v>31.1</v>
      </c>
      <c r="X163">
        <v>27.1</v>
      </c>
      <c r="Y163" s="7">
        <f t="shared" si="28"/>
        <v>1.1476014760147601</v>
      </c>
    </row>
    <row r="164" spans="1:25" x14ac:dyDescent="0.3">
      <c r="A164">
        <v>16</v>
      </c>
      <c r="B164">
        <v>35.6</v>
      </c>
      <c r="C164">
        <v>29.1</v>
      </c>
      <c r="D164" s="7">
        <f t="shared" si="23"/>
        <v>1.2233676975945018</v>
      </c>
      <c r="E164">
        <v>16</v>
      </c>
      <c r="F164">
        <v>29.2</v>
      </c>
      <c r="G164">
        <v>26</v>
      </c>
      <c r="H164" s="7">
        <f t="shared" si="24"/>
        <v>1.1230769230769231</v>
      </c>
      <c r="I164">
        <v>16</v>
      </c>
      <c r="J164">
        <v>31.2</v>
      </c>
      <c r="K164">
        <v>23.3</v>
      </c>
      <c r="L164" s="7">
        <f t="shared" si="25"/>
        <v>1.3390557939914163</v>
      </c>
      <c r="N164">
        <v>16</v>
      </c>
      <c r="O164">
        <v>29.4</v>
      </c>
      <c r="P164">
        <v>25.9</v>
      </c>
      <c r="Q164" s="7">
        <f t="shared" si="26"/>
        <v>1.1351351351351351</v>
      </c>
      <c r="R164">
        <v>16</v>
      </c>
      <c r="S164">
        <v>27.2</v>
      </c>
      <c r="T164">
        <v>24.3</v>
      </c>
      <c r="U164" s="7">
        <f t="shared" si="27"/>
        <v>1.1193415637860082</v>
      </c>
      <c r="V164">
        <v>16</v>
      </c>
      <c r="W164">
        <v>30.7</v>
      </c>
      <c r="X164">
        <v>27.4</v>
      </c>
      <c r="Y164" s="7">
        <f t="shared" si="28"/>
        <v>1.1204379562043796</v>
      </c>
    </row>
    <row r="165" spans="1:25" x14ac:dyDescent="0.3">
      <c r="A165">
        <v>17</v>
      </c>
      <c r="B165">
        <v>21.8</v>
      </c>
      <c r="C165">
        <v>27.3</v>
      </c>
      <c r="D165" s="7">
        <f t="shared" si="23"/>
        <v>0.79853479853479858</v>
      </c>
      <c r="E165">
        <v>17</v>
      </c>
      <c r="F165">
        <v>24.4</v>
      </c>
      <c r="G165">
        <v>20.2</v>
      </c>
      <c r="H165" s="7">
        <f t="shared" si="24"/>
        <v>1.2079207920792079</v>
      </c>
      <c r="I165">
        <v>17</v>
      </c>
      <c r="J165">
        <v>30</v>
      </c>
      <c r="K165">
        <v>25.5</v>
      </c>
      <c r="L165" s="7">
        <f t="shared" si="25"/>
        <v>1.1764705882352942</v>
      </c>
      <c r="N165">
        <v>17</v>
      </c>
      <c r="O165">
        <v>29.6</v>
      </c>
      <c r="P165">
        <v>23.8</v>
      </c>
      <c r="Q165" s="7">
        <f t="shared" si="26"/>
        <v>1.2436974789915967</v>
      </c>
      <c r="R165">
        <v>17</v>
      </c>
      <c r="S165">
        <v>30.7</v>
      </c>
      <c r="T165">
        <v>25.5</v>
      </c>
      <c r="U165" s="7">
        <f t="shared" si="27"/>
        <v>1.2039215686274509</v>
      </c>
      <c r="V165">
        <v>17</v>
      </c>
      <c r="W165">
        <v>36.299999999999997</v>
      </c>
      <c r="X165">
        <v>29.5</v>
      </c>
      <c r="Y165" s="7">
        <f t="shared" si="28"/>
        <v>1.2305084745762711</v>
      </c>
    </row>
    <row r="166" spans="1:25" x14ac:dyDescent="0.3">
      <c r="A166">
        <v>18</v>
      </c>
      <c r="B166">
        <v>28.6</v>
      </c>
      <c r="C166">
        <v>22.2</v>
      </c>
      <c r="D166" s="7">
        <f t="shared" si="23"/>
        <v>1.2882882882882885</v>
      </c>
      <c r="E166">
        <v>18</v>
      </c>
      <c r="F166">
        <v>30.5</v>
      </c>
      <c r="G166">
        <v>24.7</v>
      </c>
      <c r="H166" s="7">
        <f t="shared" si="24"/>
        <v>1.2348178137651822</v>
      </c>
      <c r="I166">
        <v>18</v>
      </c>
      <c r="J166">
        <v>24.5</v>
      </c>
      <c r="K166">
        <v>22.3</v>
      </c>
      <c r="L166" s="7">
        <f t="shared" si="25"/>
        <v>1.0986547085201794</v>
      </c>
      <c r="N166">
        <v>18</v>
      </c>
      <c r="O166">
        <v>27.5</v>
      </c>
      <c r="P166">
        <v>25</v>
      </c>
      <c r="Q166" s="7">
        <f t="shared" si="26"/>
        <v>1.1000000000000001</v>
      </c>
      <c r="R166">
        <v>18</v>
      </c>
      <c r="S166">
        <v>28.9</v>
      </c>
      <c r="T166">
        <v>25.1</v>
      </c>
      <c r="U166" s="7">
        <f t="shared" si="27"/>
        <v>1.1513944223107568</v>
      </c>
      <c r="V166">
        <v>18</v>
      </c>
      <c r="W166">
        <v>34.4</v>
      </c>
      <c r="X166">
        <v>30.9</v>
      </c>
      <c r="Y166" s="7">
        <f t="shared" si="28"/>
        <v>1.1132686084142396</v>
      </c>
    </row>
    <row r="167" spans="1:25" x14ac:dyDescent="0.3">
      <c r="A167">
        <v>19</v>
      </c>
      <c r="B167">
        <v>28.9</v>
      </c>
      <c r="C167">
        <v>23.6</v>
      </c>
      <c r="D167" s="7">
        <f t="shared" si="23"/>
        <v>1.2245762711864405</v>
      </c>
      <c r="E167">
        <v>19</v>
      </c>
      <c r="F167">
        <v>28.7</v>
      </c>
      <c r="G167">
        <v>25.2</v>
      </c>
      <c r="H167" s="7">
        <f t="shared" si="24"/>
        <v>1.1388888888888888</v>
      </c>
      <c r="I167">
        <v>19</v>
      </c>
      <c r="J167">
        <v>29.5</v>
      </c>
      <c r="K167">
        <v>25.3</v>
      </c>
      <c r="L167" s="7">
        <f t="shared" si="25"/>
        <v>1.1660079051383399</v>
      </c>
      <c r="N167">
        <v>19</v>
      </c>
      <c r="O167">
        <v>28.3</v>
      </c>
      <c r="P167">
        <v>23.9</v>
      </c>
      <c r="Q167" s="7">
        <f t="shared" si="26"/>
        <v>1.1841004184100419</v>
      </c>
      <c r="R167">
        <v>19</v>
      </c>
      <c r="S167">
        <v>33.1</v>
      </c>
      <c r="T167">
        <v>29.4</v>
      </c>
      <c r="U167" s="7">
        <f t="shared" si="27"/>
        <v>1.1258503401360545</v>
      </c>
      <c r="V167">
        <v>19</v>
      </c>
      <c r="W167">
        <v>28.1</v>
      </c>
      <c r="X167">
        <v>24.2</v>
      </c>
      <c r="Y167" s="7">
        <f t="shared" si="28"/>
        <v>1.1611570247933884</v>
      </c>
    </row>
    <row r="168" spans="1:25" x14ac:dyDescent="0.3">
      <c r="A168">
        <v>20</v>
      </c>
      <c r="B168">
        <v>25.1</v>
      </c>
      <c r="C168">
        <v>21.4</v>
      </c>
      <c r="D168" s="7">
        <f t="shared" si="23"/>
        <v>1.1728971962616823</v>
      </c>
      <c r="E168">
        <v>20</v>
      </c>
      <c r="F168">
        <v>28.8</v>
      </c>
      <c r="G168">
        <v>24.2</v>
      </c>
      <c r="H168" s="7">
        <f t="shared" si="24"/>
        <v>1.1900826446280992</v>
      </c>
      <c r="I168">
        <v>20</v>
      </c>
      <c r="J168">
        <v>23.7</v>
      </c>
      <c r="K168">
        <v>19.600000000000001</v>
      </c>
      <c r="L168" s="7">
        <f t="shared" si="25"/>
        <v>1.2091836734693877</v>
      </c>
      <c r="N168">
        <v>20</v>
      </c>
      <c r="O168">
        <v>26.8</v>
      </c>
      <c r="P168">
        <v>24.2</v>
      </c>
      <c r="Q168" s="7">
        <f t="shared" si="26"/>
        <v>1.1074380165289257</v>
      </c>
      <c r="R168">
        <v>20</v>
      </c>
      <c r="S168">
        <v>29</v>
      </c>
      <c r="T168">
        <v>23.3</v>
      </c>
      <c r="U168" s="7">
        <f t="shared" si="27"/>
        <v>1.2446351931330473</v>
      </c>
      <c r="V168">
        <v>20</v>
      </c>
      <c r="W168">
        <v>31.1</v>
      </c>
      <c r="X168">
        <v>27.3</v>
      </c>
      <c r="Y168" s="7">
        <f t="shared" si="28"/>
        <v>1.1391941391941391</v>
      </c>
    </row>
    <row r="169" spans="1:25" x14ac:dyDescent="0.3">
      <c r="A169">
        <v>21</v>
      </c>
      <c r="B169">
        <v>30.7</v>
      </c>
      <c r="C169">
        <v>24.9</v>
      </c>
      <c r="D169" s="7">
        <f t="shared" si="23"/>
        <v>1.2329317269076305</v>
      </c>
      <c r="E169">
        <v>21</v>
      </c>
      <c r="F169">
        <v>28.5</v>
      </c>
      <c r="G169">
        <v>24.1</v>
      </c>
      <c r="H169" s="7">
        <f t="shared" si="24"/>
        <v>1.1825726141078838</v>
      </c>
      <c r="I169">
        <v>21</v>
      </c>
      <c r="J169">
        <v>28</v>
      </c>
      <c r="K169">
        <v>23.4</v>
      </c>
      <c r="L169" s="7">
        <f t="shared" si="25"/>
        <v>1.1965811965811965</v>
      </c>
      <c r="N169">
        <v>21</v>
      </c>
      <c r="O169">
        <v>28.5</v>
      </c>
      <c r="P169">
        <v>24.8</v>
      </c>
      <c r="Q169" s="7">
        <f t="shared" si="26"/>
        <v>1.1491935483870968</v>
      </c>
      <c r="R169">
        <v>21</v>
      </c>
      <c r="S169">
        <v>30.3</v>
      </c>
      <c r="T169">
        <v>25.1</v>
      </c>
      <c r="U169" s="7">
        <f t="shared" si="27"/>
        <v>1.2071713147410359</v>
      </c>
      <c r="V169">
        <v>21</v>
      </c>
      <c r="W169">
        <v>32.799999999999997</v>
      </c>
      <c r="X169">
        <v>28.5</v>
      </c>
      <c r="Y169" s="7">
        <f t="shared" si="28"/>
        <v>1.1508771929824559</v>
      </c>
    </row>
    <row r="170" spans="1:25" x14ac:dyDescent="0.3">
      <c r="A170">
        <v>22</v>
      </c>
      <c r="B170">
        <v>28.5</v>
      </c>
      <c r="C170">
        <v>22.4</v>
      </c>
      <c r="D170" s="7">
        <f t="shared" si="23"/>
        <v>1.2723214285714286</v>
      </c>
      <c r="E170">
        <v>22</v>
      </c>
      <c r="F170">
        <v>27.2</v>
      </c>
      <c r="G170">
        <v>22.6</v>
      </c>
      <c r="H170" s="7">
        <f t="shared" si="24"/>
        <v>1.2035398230088494</v>
      </c>
      <c r="I170">
        <v>22</v>
      </c>
      <c r="J170">
        <v>30.8</v>
      </c>
      <c r="K170">
        <v>25.9</v>
      </c>
      <c r="L170" s="7">
        <f t="shared" si="25"/>
        <v>1.1891891891891893</v>
      </c>
      <c r="N170">
        <v>22</v>
      </c>
      <c r="O170">
        <v>27.1</v>
      </c>
      <c r="P170">
        <v>23.8</v>
      </c>
      <c r="Q170" s="7">
        <f t="shared" si="26"/>
        <v>1.1386554621848739</v>
      </c>
      <c r="R170">
        <v>22</v>
      </c>
      <c r="S170">
        <v>31.9</v>
      </c>
      <c r="T170">
        <v>27.6</v>
      </c>
      <c r="U170" s="7">
        <f t="shared" si="27"/>
        <v>1.1557971014492752</v>
      </c>
      <c r="V170">
        <v>22</v>
      </c>
      <c r="W170">
        <v>34.299999999999997</v>
      </c>
      <c r="X170">
        <v>29.7</v>
      </c>
      <c r="Y170" s="7">
        <f t="shared" si="28"/>
        <v>1.1548821548821548</v>
      </c>
    </row>
    <row r="171" spans="1:25" x14ac:dyDescent="0.3">
      <c r="A171">
        <v>23</v>
      </c>
      <c r="B171">
        <v>30.2</v>
      </c>
      <c r="C171">
        <v>23.8</v>
      </c>
      <c r="D171" s="7">
        <f t="shared" si="23"/>
        <v>1.26890756302521</v>
      </c>
      <c r="E171">
        <v>23</v>
      </c>
      <c r="F171">
        <v>27.4</v>
      </c>
      <c r="G171">
        <v>22.8</v>
      </c>
      <c r="H171" s="7">
        <f t="shared" si="24"/>
        <v>1.2017543859649122</v>
      </c>
      <c r="I171">
        <v>23</v>
      </c>
      <c r="J171">
        <v>27.1</v>
      </c>
      <c r="K171">
        <v>22.3</v>
      </c>
      <c r="L171" s="7">
        <f t="shared" si="25"/>
        <v>1.2152466367713004</v>
      </c>
      <c r="N171">
        <v>23</v>
      </c>
      <c r="O171">
        <v>31.6</v>
      </c>
      <c r="P171">
        <v>29.4</v>
      </c>
      <c r="Q171" s="7">
        <f t="shared" si="26"/>
        <v>1.0748299319727892</v>
      </c>
      <c r="R171">
        <v>23</v>
      </c>
      <c r="S171">
        <v>27.9</v>
      </c>
      <c r="T171">
        <v>23.6</v>
      </c>
      <c r="U171" s="7">
        <f t="shared" si="27"/>
        <v>1.1822033898305084</v>
      </c>
      <c r="V171">
        <v>23</v>
      </c>
      <c r="W171">
        <v>33.6</v>
      </c>
      <c r="X171">
        <v>31</v>
      </c>
      <c r="Y171" s="7">
        <f t="shared" si="28"/>
        <v>1.0838709677419356</v>
      </c>
    </row>
    <row r="172" spans="1:25" x14ac:dyDescent="0.3">
      <c r="A172">
        <v>24</v>
      </c>
      <c r="B172">
        <v>29.3</v>
      </c>
      <c r="C172">
        <v>23.8</v>
      </c>
      <c r="D172" s="7">
        <f t="shared" si="23"/>
        <v>1.23109243697479</v>
      </c>
      <c r="E172">
        <v>24</v>
      </c>
      <c r="F172">
        <v>28</v>
      </c>
      <c r="G172">
        <v>23.1</v>
      </c>
      <c r="H172" s="7">
        <f t="shared" si="24"/>
        <v>1.2121212121212122</v>
      </c>
      <c r="I172">
        <v>24</v>
      </c>
      <c r="J172">
        <v>26.4</v>
      </c>
      <c r="K172">
        <v>21.5</v>
      </c>
      <c r="L172" s="7">
        <f t="shared" si="25"/>
        <v>1.2279069767441859</v>
      </c>
      <c r="N172">
        <v>24</v>
      </c>
      <c r="O172">
        <v>31.2</v>
      </c>
      <c r="P172">
        <v>29</v>
      </c>
      <c r="Q172" s="7">
        <f t="shared" si="26"/>
        <v>1.0758620689655172</v>
      </c>
      <c r="R172">
        <v>24</v>
      </c>
      <c r="S172">
        <v>29.8</v>
      </c>
      <c r="T172">
        <v>27.5</v>
      </c>
      <c r="U172" s="7">
        <f t="shared" si="27"/>
        <v>1.0836363636363637</v>
      </c>
      <c r="V172">
        <v>24</v>
      </c>
      <c r="W172">
        <v>37.200000000000003</v>
      </c>
      <c r="X172">
        <v>32.700000000000003</v>
      </c>
      <c r="Y172" s="7">
        <f t="shared" si="28"/>
        <v>1.1376146788990826</v>
      </c>
    </row>
    <row r="173" spans="1:25" x14ac:dyDescent="0.3">
      <c r="A173">
        <v>25</v>
      </c>
      <c r="B173">
        <v>26.8</v>
      </c>
      <c r="C173">
        <v>22.5</v>
      </c>
      <c r="D173" s="7">
        <f t="shared" si="23"/>
        <v>1.1911111111111112</v>
      </c>
      <c r="E173">
        <v>25</v>
      </c>
      <c r="F173">
        <v>34.1</v>
      </c>
      <c r="G173">
        <v>26.6</v>
      </c>
      <c r="H173" s="7">
        <f t="shared" si="24"/>
        <v>1.2819548872180451</v>
      </c>
      <c r="I173">
        <v>25</v>
      </c>
      <c r="J173">
        <v>26.8</v>
      </c>
      <c r="K173">
        <v>23.3</v>
      </c>
      <c r="L173" s="7">
        <f t="shared" si="25"/>
        <v>1.150214592274678</v>
      </c>
      <c r="N173">
        <v>25</v>
      </c>
      <c r="O173">
        <v>33.9</v>
      </c>
      <c r="P173">
        <v>28.8</v>
      </c>
      <c r="Q173" s="7">
        <f t="shared" si="26"/>
        <v>1.1770833333333333</v>
      </c>
      <c r="R173">
        <v>25</v>
      </c>
      <c r="S173">
        <v>31.6</v>
      </c>
      <c r="T173">
        <v>25.7</v>
      </c>
      <c r="U173" s="7">
        <f t="shared" si="27"/>
        <v>1.2295719844357977</v>
      </c>
      <c r="V173">
        <v>25</v>
      </c>
      <c r="W173">
        <v>37.6</v>
      </c>
      <c r="X173">
        <v>30.3</v>
      </c>
      <c r="Y173" s="7">
        <f t="shared" si="28"/>
        <v>1.2409240924092408</v>
      </c>
    </row>
    <row r="174" spans="1:25" x14ac:dyDescent="0.3">
      <c r="A174">
        <v>26</v>
      </c>
      <c r="B174">
        <v>28.5</v>
      </c>
      <c r="C174">
        <v>22.6</v>
      </c>
      <c r="D174" s="7">
        <f t="shared" si="23"/>
        <v>1.2610619469026547</v>
      </c>
      <c r="E174">
        <v>26</v>
      </c>
      <c r="F174">
        <v>30</v>
      </c>
      <c r="G174">
        <v>25.3</v>
      </c>
      <c r="H174" s="7">
        <f t="shared" si="24"/>
        <v>1.1857707509881423</v>
      </c>
      <c r="I174">
        <v>26</v>
      </c>
      <c r="J174">
        <v>25.8</v>
      </c>
      <c r="K174">
        <v>21.5</v>
      </c>
      <c r="L174" s="7">
        <f t="shared" si="25"/>
        <v>1.2</v>
      </c>
      <c r="N174">
        <v>26</v>
      </c>
      <c r="O174">
        <v>34.299999999999997</v>
      </c>
      <c r="P174">
        <v>29.6</v>
      </c>
      <c r="Q174" s="7">
        <f t="shared" si="26"/>
        <v>1.1587837837837835</v>
      </c>
      <c r="R174">
        <v>26</v>
      </c>
      <c r="S174">
        <v>33</v>
      </c>
      <c r="T174">
        <v>27.3</v>
      </c>
      <c r="U174" s="7">
        <f t="shared" si="27"/>
        <v>1.2087912087912087</v>
      </c>
      <c r="V174">
        <v>26</v>
      </c>
      <c r="W174">
        <v>36.200000000000003</v>
      </c>
      <c r="X174">
        <v>31.3</v>
      </c>
      <c r="Y174" s="7">
        <f t="shared" si="28"/>
        <v>1.1565495207667733</v>
      </c>
    </row>
    <row r="175" spans="1:25" x14ac:dyDescent="0.3">
      <c r="A175">
        <v>27</v>
      </c>
      <c r="B175">
        <v>30.4</v>
      </c>
      <c r="C175">
        <v>28.1</v>
      </c>
      <c r="D175" s="7">
        <f t="shared" si="23"/>
        <v>1.081850533807829</v>
      </c>
      <c r="E175">
        <v>27</v>
      </c>
      <c r="F175">
        <v>35.9</v>
      </c>
      <c r="G175">
        <v>29.9</v>
      </c>
      <c r="H175" s="7">
        <f t="shared" si="24"/>
        <v>1.2006688963210703</v>
      </c>
      <c r="I175">
        <v>27</v>
      </c>
      <c r="J175">
        <v>28.1</v>
      </c>
      <c r="K175">
        <v>22.8</v>
      </c>
      <c r="L175" s="7">
        <f t="shared" si="25"/>
        <v>1.2324561403508771</v>
      </c>
      <c r="N175">
        <v>27</v>
      </c>
      <c r="O175">
        <v>31.1</v>
      </c>
      <c r="P175">
        <v>28</v>
      </c>
      <c r="Q175" s="7">
        <f t="shared" si="26"/>
        <v>1.1107142857142858</v>
      </c>
      <c r="R175">
        <v>27</v>
      </c>
      <c r="S175">
        <v>30.4</v>
      </c>
      <c r="T175">
        <v>27.6</v>
      </c>
      <c r="U175" s="7">
        <f t="shared" si="27"/>
        <v>1.1014492753623186</v>
      </c>
      <c r="V175">
        <v>27</v>
      </c>
      <c r="W175">
        <v>33.1</v>
      </c>
      <c r="X175">
        <v>29.1</v>
      </c>
      <c r="Y175" s="7">
        <f t="shared" si="28"/>
        <v>1.1374570446735395</v>
      </c>
    </row>
    <row r="176" spans="1:25" x14ac:dyDescent="0.3">
      <c r="A176">
        <v>28</v>
      </c>
      <c r="B176">
        <v>26.3</v>
      </c>
      <c r="C176">
        <v>24</v>
      </c>
      <c r="D176" s="7">
        <f t="shared" si="23"/>
        <v>1.0958333333333334</v>
      </c>
      <c r="E176">
        <v>28</v>
      </c>
      <c r="F176">
        <v>29</v>
      </c>
      <c r="G176">
        <v>24.4</v>
      </c>
      <c r="H176" s="7">
        <f t="shared" si="24"/>
        <v>1.1885245901639345</v>
      </c>
      <c r="I176">
        <v>28</v>
      </c>
      <c r="J176">
        <v>29.7</v>
      </c>
      <c r="K176">
        <v>22.3</v>
      </c>
      <c r="L176" s="7">
        <f t="shared" si="25"/>
        <v>1.3318385650224214</v>
      </c>
      <c r="N176">
        <v>28</v>
      </c>
      <c r="O176">
        <v>31</v>
      </c>
      <c r="P176">
        <v>28.5</v>
      </c>
      <c r="Q176" s="7">
        <f t="shared" si="26"/>
        <v>1.0877192982456141</v>
      </c>
      <c r="R176">
        <v>28</v>
      </c>
      <c r="S176">
        <v>27.3</v>
      </c>
      <c r="T176">
        <v>24.6</v>
      </c>
      <c r="U176" s="7">
        <f t="shared" si="27"/>
        <v>1.1097560975609755</v>
      </c>
      <c r="V176">
        <v>28</v>
      </c>
      <c r="W176">
        <v>33.9</v>
      </c>
      <c r="X176">
        <v>29.2</v>
      </c>
      <c r="Y176" s="7">
        <f t="shared" si="28"/>
        <v>1.1609589041095891</v>
      </c>
    </row>
    <row r="177" spans="1:25" x14ac:dyDescent="0.3">
      <c r="A177">
        <v>29</v>
      </c>
      <c r="B177">
        <v>28.1</v>
      </c>
      <c r="C177">
        <v>24.2</v>
      </c>
      <c r="D177" s="7">
        <f t="shared" si="23"/>
        <v>1.1611570247933884</v>
      </c>
      <c r="E177">
        <v>29</v>
      </c>
      <c r="F177">
        <v>28.9</v>
      </c>
      <c r="G177">
        <v>24.2</v>
      </c>
      <c r="H177" s="7">
        <f t="shared" si="24"/>
        <v>1.1942148760330578</v>
      </c>
      <c r="I177">
        <v>29</v>
      </c>
      <c r="J177">
        <v>31</v>
      </c>
      <c r="K177">
        <v>23.6</v>
      </c>
      <c r="L177" s="7">
        <f t="shared" si="25"/>
        <v>1.3135593220338981</v>
      </c>
      <c r="N177">
        <v>29</v>
      </c>
      <c r="O177">
        <v>29.9</v>
      </c>
      <c r="P177">
        <v>27.3</v>
      </c>
      <c r="Q177" s="7">
        <f t="shared" si="26"/>
        <v>1.0952380952380951</v>
      </c>
      <c r="R177">
        <v>29</v>
      </c>
      <c r="S177">
        <v>26.3</v>
      </c>
      <c r="T177">
        <v>24.7</v>
      </c>
      <c r="U177" s="7">
        <f t="shared" si="27"/>
        <v>1.0647773279352228</v>
      </c>
      <c r="V177">
        <v>29</v>
      </c>
      <c r="W177">
        <v>32.799999999999997</v>
      </c>
      <c r="X177">
        <v>26.8</v>
      </c>
      <c r="Y177" s="7">
        <f t="shared" si="28"/>
        <v>1.2238805970149251</v>
      </c>
    </row>
    <row r="178" spans="1:25" x14ac:dyDescent="0.3">
      <c r="A178">
        <v>30</v>
      </c>
      <c r="B178">
        <v>29.8</v>
      </c>
      <c r="C178">
        <v>25.9</v>
      </c>
      <c r="D178" s="7">
        <f t="shared" si="23"/>
        <v>1.1505791505791507</v>
      </c>
      <c r="E178">
        <v>30</v>
      </c>
      <c r="F178">
        <v>29.9</v>
      </c>
      <c r="G178">
        <v>21.5</v>
      </c>
      <c r="H178" s="7">
        <f t="shared" si="24"/>
        <v>1.3906976744186046</v>
      </c>
      <c r="I178">
        <v>30</v>
      </c>
      <c r="J178">
        <v>31.8</v>
      </c>
      <c r="K178">
        <v>25.9</v>
      </c>
      <c r="L178" s="7">
        <f t="shared" si="25"/>
        <v>1.2277992277992278</v>
      </c>
      <c r="N178">
        <v>30</v>
      </c>
      <c r="O178">
        <v>30.9</v>
      </c>
      <c r="P178">
        <v>27.8</v>
      </c>
      <c r="Q178" s="7">
        <f t="shared" si="26"/>
        <v>1.1115107913669064</v>
      </c>
      <c r="R178">
        <v>30</v>
      </c>
      <c r="S178">
        <v>30.4</v>
      </c>
      <c r="T178">
        <v>28.4</v>
      </c>
      <c r="U178" s="7">
        <f t="shared" si="27"/>
        <v>1.0704225352112675</v>
      </c>
      <c r="V178">
        <v>30</v>
      </c>
      <c r="W178">
        <v>29.3</v>
      </c>
      <c r="X178">
        <v>22.9</v>
      </c>
      <c r="Y178" s="7">
        <f t="shared" si="28"/>
        <v>1.2794759825327513</v>
      </c>
    </row>
    <row r="180" spans="1:25" x14ac:dyDescent="0.3">
      <c r="A180" s="23" t="s">
        <v>28</v>
      </c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N180" s="23" t="s">
        <v>29</v>
      </c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2" spans="1:25" x14ac:dyDescent="0.3">
      <c r="A182" s="6" t="s">
        <v>3</v>
      </c>
      <c r="E182" s="6" t="s">
        <v>2</v>
      </c>
      <c r="I182" s="6" t="s">
        <v>0</v>
      </c>
      <c r="N182" s="6" t="s">
        <v>3</v>
      </c>
      <c r="R182" s="6" t="s">
        <v>2</v>
      </c>
      <c r="V182" s="6" t="s">
        <v>0</v>
      </c>
    </row>
    <row r="183" spans="1:25" x14ac:dyDescent="0.3">
      <c r="A183" t="s">
        <v>16</v>
      </c>
      <c r="B183" t="s">
        <v>17</v>
      </c>
      <c r="C183" t="s">
        <v>18</v>
      </c>
      <c r="D183" t="s">
        <v>19</v>
      </c>
      <c r="E183" t="s">
        <v>16</v>
      </c>
      <c r="F183" t="s">
        <v>17</v>
      </c>
      <c r="G183" t="s">
        <v>18</v>
      </c>
      <c r="H183" t="s">
        <v>19</v>
      </c>
      <c r="I183" t="s">
        <v>16</v>
      </c>
      <c r="J183" t="s">
        <v>17</v>
      </c>
      <c r="K183" t="s">
        <v>18</v>
      </c>
      <c r="L183" t="s">
        <v>19</v>
      </c>
      <c r="N183" t="s">
        <v>16</v>
      </c>
      <c r="O183" t="s">
        <v>17</v>
      </c>
      <c r="P183" t="s">
        <v>18</v>
      </c>
      <c r="Q183" t="s">
        <v>19</v>
      </c>
      <c r="R183" t="s">
        <v>16</v>
      </c>
      <c r="S183" t="s">
        <v>17</v>
      </c>
      <c r="T183" t="s">
        <v>18</v>
      </c>
      <c r="U183" t="s">
        <v>19</v>
      </c>
      <c r="V183" t="s">
        <v>16</v>
      </c>
      <c r="W183" t="s">
        <v>17</v>
      </c>
      <c r="X183" t="s">
        <v>18</v>
      </c>
      <c r="Y183" t="s">
        <v>19</v>
      </c>
    </row>
    <row r="184" spans="1:25" x14ac:dyDescent="0.3">
      <c r="A184">
        <v>1</v>
      </c>
      <c r="B184">
        <v>36.4</v>
      </c>
      <c r="C184">
        <v>30.9</v>
      </c>
      <c r="D184" s="7">
        <f>B184/C184</f>
        <v>1.1779935275080906</v>
      </c>
      <c r="E184">
        <v>1</v>
      </c>
      <c r="F184">
        <v>33.1</v>
      </c>
      <c r="G184">
        <v>32.799999999999997</v>
      </c>
      <c r="H184" s="7">
        <f>F184/G184</f>
        <v>1.0091463414634148</v>
      </c>
      <c r="I184">
        <v>1</v>
      </c>
      <c r="J184">
        <v>31.8</v>
      </c>
      <c r="K184">
        <v>29.6</v>
      </c>
      <c r="L184" s="7">
        <f>J184/K184</f>
        <v>1.0743243243243243</v>
      </c>
      <c r="N184">
        <v>1</v>
      </c>
      <c r="O184">
        <v>32.200000000000003</v>
      </c>
      <c r="P184">
        <v>32.1</v>
      </c>
      <c r="Q184" s="7">
        <f>O184/P184</f>
        <v>1.0031152647975079</v>
      </c>
      <c r="R184">
        <v>1</v>
      </c>
      <c r="S184">
        <v>36</v>
      </c>
      <c r="T184">
        <v>34.200000000000003</v>
      </c>
      <c r="U184" s="7">
        <f>S184/T184</f>
        <v>1.0526315789473684</v>
      </c>
      <c r="V184">
        <v>1</v>
      </c>
      <c r="W184">
        <v>35.200000000000003</v>
      </c>
      <c r="X184">
        <v>35.1</v>
      </c>
      <c r="Y184" s="7">
        <f>W184/X184</f>
        <v>1.0028490028490029</v>
      </c>
    </row>
    <row r="185" spans="1:25" x14ac:dyDescent="0.3">
      <c r="A185">
        <v>2</v>
      </c>
      <c r="B185">
        <v>30.2</v>
      </c>
      <c r="C185">
        <v>28.9</v>
      </c>
      <c r="D185" s="7">
        <f t="shared" ref="D185:D213" si="29">B185/C185</f>
        <v>1.0449826989619377</v>
      </c>
      <c r="E185">
        <v>2</v>
      </c>
      <c r="F185">
        <v>31.2</v>
      </c>
      <c r="G185">
        <v>32.1</v>
      </c>
      <c r="H185" s="7">
        <f t="shared" ref="H185:H213" si="30">F185/G185</f>
        <v>0.97196261682242979</v>
      </c>
      <c r="I185">
        <v>2</v>
      </c>
      <c r="J185">
        <v>33.200000000000003</v>
      </c>
      <c r="K185">
        <v>30.4</v>
      </c>
      <c r="L185" s="7">
        <f t="shared" ref="L185:L213" si="31">J185/K185</f>
        <v>1.0921052631578949</v>
      </c>
      <c r="N185">
        <v>2</v>
      </c>
      <c r="O185">
        <v>29.2</v>
      </c>
      <c r="P185">
        <v>28.9</v>
      </c>
      <c r="Q185" s="7">
        <f t="shared" ref="Q185:Q213" si="32">O185/P185</f>
        <v>1.0103806228373702</v>
      </c>
      <c r="R185">
        <v>2</v>
      </c>
      <c r="S185">
        <v>31.3</v>
      </c>
      <c r="T185">
        <v>30.3</v>
      </c>
      <c r="U185" s="7">
        <f t="shared" ref="U185:U213" si="33">S185/T185</f>
        <v>1.033003300330033</v>
      </c>
      <c r="V185">
        <v>2</v>
      </c>
      <c r="W185">
        <v>35.200000000000003</v>
      </c>
      <c r="X185">
        <v>31.6</v>
      </c>
      <c r="Y185" s="7">
        <f t="shared" ref="Y185:Y213" si="34">W185/X185</f>
        <v>1.1139240506329113</v>
      </c>
    </row>
    <row r="186" spans="1:25" x14ac:dyDescent="0.3">
      <c r="A186">
        <v>3</v>
      </c>
      <c r="B186">
        <v>34.4</v>
      </c>
      <c r="C186">
        <v>32.5</v>
      </c>
      <c r="D186" s="7">
        <f t="shared" si="29"/>
        <v>1.0584615384615383</v>
      </c>
      <c r="E186">
        <v>3</v>
      </c>
      <c r="F186">
        <v>36.200000000000003</v>
      </c>
      <c r="G186">
        <v>32.299999999999997</v>
      </c>
      <c r="H186" s="7">
        <f t="shared" si="30"/>
        <v>1.1207430340557278</v>
      </c>
      <c r="I186">
        <v>3</v>
      </c>
      <c r="J186">
        <v>33.799999999999997</v>
      </c>
      <c r="K186">
        <v>34</v>
      </c>
      <c r="L186" s="7">
        <f t="shared" si="31"/>
        <v>0.99411764705882344</v>
      </c>
      <c r="N186">
        <v>3</v>
      </c>
      <c r="O186">
        <v>31</v>
      </c>
      <c r="P186">
        <v>33</v>
      </c>
      <c r="Q186" s="7">
        <f t="shared" si="32"/>
        <v>0.93939393939393945</v>
      </c>
      <c r="R186">
        <v>3</v>
      </c>
      <c r="S186">
        <v>35.700000000000003</v>
      </c>
      <c r="T186">
        <v>32.4</v>
      </c>
      <c r="U186" s="7">
        <f t="shared" si="33"/>
        <v>1.1018518518518521</v>
      </c>
      <c r="V186">
        <v>3</v>
      </c>
      <c r="W186">
        <v>37.700000000000003</v>
      </c>
      <c r="X186">
        <v>34.1</v>
      </c>
      <c r="Y186" s="7">
        <f t="shared" si="34"/>
        <v>1.1055718475073315</v>
      </c>
    </row>
    <row r="187" spans="1:25" x14ac:dyDescent="0.3">
      <c r="A187">
        <v>4</v>
      </c>
      <c r="B187">
        <v>33.9</v>
      </c>
      <c r="C187">
        <v>33</v>
      </c>
      <c r="D187" s="7">
        <f t="shared" si="29"/>
        <v>1.0272727272727273</v>
      </c>
      <c r="E187">
        <v>4</v>
      </c>
      <c r="F187">
        <v>29.3</v>
      </c>
      <c r="G187">
        <v>25.3</v>
      </c>
      <c r="H187" s="7">
        <f t="shared" si="30"/>
        <v>1.1581027667984189</v>
      </c>
      <c r="I187">
        <v>4</v>
      </c>
      <c r="J187">
        <v>35.6</v>
      </c>
      <c r="K187">
        <v>31.6</v>
      </c>
      <c r="L187" s="7">
        <f t="shared" si="31"/>
        <v>1.1265822784810127</v>
      </c>
      <c r="N187">
        <v>4</v>
      </c>
      <c r="O187">
        <v>29.6</v>
      </c>
      <c r="P187">
        <v>28.6</v>
      </c>
      <c r="Q187" s="7">
        <f t="shared" si="32"/>
        <v>1.034965034965035</v>
      </c>
      <c r="R187">
        <v>4</v>
      </c>
      <c r="S187">
        <v>31.1</v>
      </c>
      <c r="T187">
        <v>29.8</v>
      </c>
      <c r="U187" s="7">
        <f t="shared" si="33"/>
        <v>1.0436241610738255</v>
      </c>
      <c r="V187">
        <v>4</v>
      </c>
      <c r="W187">
        <v>37.1</v>
      </c>
      <c r="X187">
        <v>36.1</v>
      </c>
      <c r="Y187" s="7">
        <f t="shared" si="34"/>
        <v>1.0277008310249307</v>
      </c>
    </row>
    <row r="188" spans="1:25" x14ac:dyDescent="0.3">
      <c r="A188">
        <v>5</v>
      </c>
      <c r="B188">
        <v>31.1</v>
      </c>
      <c r="C188">
        <v>29.6</v>
      </c>
      <c r="D188" s="7">
        <f t="shared" si="29"/>
        <v>1.0506756756756757</v>
      </c>
      <c r="E188">
        <v>5</v>
      </c>
      <c r="F188">
        <v>35.1</v>
      </c>
      <c r="G188">
        <v>33.700000000000003</v>
      </c>
      <c r="H188" s="7">
        <f t="shared" si="30"/>
        <v>1.0415430267062313</v>
      </c>
      <c r="I188">
        <v>5</v>
      </c>
      <c r="J188">
        <v>31.1</v>
      </c>
      <c r="K188">
        <v>32.299999999999997</v>
      </c>
      <c r="L188" s="7">
        <f t="shared" si="31"/>
        <v>0.96284829721362242</v>
      </c>
      <c r="N188">
        <v>5</v>
      </c>
      <c r="O188">
        <v>31.7</v>
      </c>
      <c r="P188">
        <v>29.4</v>
      </c>
      <c r="Q188" s="7">
        <f t="shared" si="32"/>
        <v>1.0782312925170068</v>
      </c>
      <c r="R188">
        <v>5</v>
      </c>
      <c r="S188">
        <v>30</v>
      </c>
      <c r="T188">
        <v>31</v>
      </c>
      <c r="U188" s="7">
        <f t="shared" si="33"/>
        <v>0.967741935483871</v>
      </c>
      <c r="V188">
        <v>5</v>
      </c>
      <c r="W188">
        <v>33.799999999999997</v>
      </c>
      <c r="X188">
        <v>29.6</v>
      </c>
      <c r="Y188" s="7">
        <f t="shared" si="34"/>
        <v>1.1418918918918917</v>
      </c>
    </row>
    <row r="189" spans="1:25" x14ac:dyDescent="0.3">
      <c r="A189">
        <v>6</v>
      </c>
      <c r="B189">
        <v>39.6</v>
      </c>
      <c r="C189">
        <v>33.700000000000003</v>
      </c>
      <c r="D189" s="7">
        <f t="shared" si="29"/>
        <v>1.1750741839762611</v>
      </c>
      <c r="E189">
        <v>6</v>
      </c>
      <c r="F189">
        <v>36.200000000000003</v>
      </c>
      <c r="G189">
        <v>30.8</v>
      </c>
      <c r="H189" s="7">
        <f t="shared" si="30"/>
        <v>1.1753246753246753</v>
      </c>
      <c r="I189">
        <v>6</v>
      </c>
      <c r="J189">
        <v>32.9</v>
      </c>
      <c r="K189">
        <v>30.7</v>
      </c>
      <c r="L189" s="7">
        <f t="shared" si="31"/>
        <v>1.0716612377850163</v>
      </c>
      <c r="N189">
        <v>6</v>
      </c>
      <c r="O189">
        <v>31.9</v>
      </c>
      <c r="P189">
        <v>31.2</v>
      </c>
      <c r="Q189" s="7">
        <f t="shared" si="32"/>
        <v>1.0224358974358974</v>
      </c>
      <c r="R189">
        <v>6</v>
      </c>
      <c r="S189">
        <v>37.4</v>
      </c>
      <c r="T189">
        <v>33.5</v>
      </c>
      <c r="U189" s="7">
        <f t="shared" si="33"/>
        <v>1.1164179104477612</v>
      </c>
      <c r="V189">
        <v>6</v>
      </c>
      <c r="W189">
        <v>37.200000000000003</v>
      </c>
      <c r="X189">
        <v>36</v>
      </c>
      <c r="Y189" s="7">
        <f t="shared" si="34"/>
        <v>1.0333333333333334</v>
      </c>
    </row>
    <row r="190" spans="1:25" x14ac:dyDescent="0.3">
      <c r="A190">
        <v>7</v>
      </c>
      <c r="B190">
        <v>36.1</v>
      </c>
      <c r="C190">
        <v>33.4</v>
      </c>
      <c r="D190" s="7">
        <f t="shared" si="29"/>
        <v>1.0808383233532934</v>
      </c>
      <c r="E190">
        <v>7</v>
      </c>
      <c r="F190">
        <v>39.1</v>
      </c>
      <c r="G190">
        <v>35.299999999999997</v>
      </c>
      <c r="H190" s="7">
        <f t="shared" si="30"/>
        <v>1.1076487252124647</v>
      </c>
      <c r="I190">
        <v>7</v>
      </c>
      <c r="J190">
        <v>36.1</v>
      </c>
      <c r="K190">
        <v>34.299999999999997</v>
      </c>
      <c r="L190" s="7">
        <f t="shared" si="31"/>
        <v>1.0524781341107874</v>
      </c>
      <c r="N190">
        <v>7</v>
      </c>
      <c r="O190">
        <v>36.1</v>
      </c>
      <c r="P190">
        <v>39.799999999999997</v>
      </c>
      <c r="Q190" s="7">
        <f t="shared" si="32"/>
        <v>0.90703517587939708</v>
      </c>
      <c r="R190">
        <v>7</v>
      </c>
      <c r="S190">
        <v>32.4</v>
      </c>
      <c r="T190">
        <v>29.9</v>
      </c>
      <c r="U190" s="7">
        <f t="shared" si="33"/>
        <v>1.0836120401337792</v>
      </c>
      <c r="V190">
        <v>7</v>
      </c>
      <c r="W190">
        <v>38</v>
      </c>
      <c r="X190">
        <v>31.1</v>
      </c>
      <c r="Y190" s="7">
        <f t="shared" si="34"/>
        <v>1.2218649517684887</v>
      </c>
    </row>
    <row r="191" spans="1:25" x14ac:dyDescent="0.3">
      <c r="A191">
        <v>8</v>
      </c>
      <c r="B191">
        <v>34.5</v>
      </c>
      <c r="C191">
        <v>35.4</v>
      </c>
      <c r="D191" s="7">
        <f t="shared" si="29"/>
        <v>0.97457627118644075</v>
      </c>
      <c r="E191">
        <v>8</v>
      </c>
      <c r="F191">
        <v>30.1</v>
      </c>
      <c r="G191">
        <v>29.2</v>
      </c>
      <c r="H191" s="7">
        <f t="shared" si="30"/>
        <v>1.0308219178082192</v>
      </c>
      <c r="I191">
        <v>8</v>
      </c>
      <c r="J191">
        <v>33.299999999999997</v>
      </c>
      <c r="K191">
        <v>29.8</v>
      </c>
      <c r="L191" s="7">
        <f t="shared" si="31"/>
        <v>1.11744966442953</v>
      </c>
      <c r="N191">
        <v>8</v>
      </c>
      <c r="O191">
        <v>29.8</v>
      </c>
      <c r="P191">
        <v>27.7</v>
      </c>
      <c r="Q191" s="7">
        <f t="shared" si="32"/>
        <v>1.075812274368231</v>
      </c>
      <c r="R191">
        <v>8</v>
      </c>
      <c r="S191">
        <v>34</v>
      </c>
      <c r="T191">
        <v>32.9</v>
      </c>
      <c r="U191" s="7">
        <f t="shared" si="33"/>
        <v>1.0334346504559271</v>
      </c>
      <c r="V191">
        <v>8</v>
      </c>
      <c r="W191">
        <v>29.3</v>
      </c>
      <c r="X191">
        <v>24.4</v>
      </c>
      <c r="Y191" s="7">
        <f t="shared" si="34"/>
        <v>1.2008196721311477</v>
      </c>
    </row>
    <row r="192" spans="1:25" x14ac:dyDescent="0.3">
      <c r="A192">
        <v>9</v>
      </c>
      <c r="B192">
        <v>34.6</v>
      </c>
      <c r="C192">
        <v>30.1</v>
      </c>
      <c r="D192" s="7">
        <f t="shared" si="29"/>
        <v>1.1495016611295681</v>
      </c>
      <c r="E192">
        <v>9</v>
      </c>
      <c r="F192">
        <v>28.9</v>
      </c>
      <c r="G192">
        <v>27.7</v>
      </c>
      <c r="H192" s="7">
        <f t="shared" si="30"/>
        <v>1.0433212996389891</v>
      </c>
      <c r="I192">
        <v>9</v>
      </c>
      <c r="J192">
        <v>29.7</v>
      </c>
      <c r="K192">
        <v>28.5</v>
      </c>
      <c r="L192" s="7">
        <f t="shared" si="31"/>
        <v>1.0421052631578946</v>
      </c>
      <c r="N192">
        <v>9</v>
      </c>
      <c r="O192">
        <v>32.299999999999997</v>
      </c>
      <c r="P192">
        <v>29.3</v>
      </c>
      <c r="Q192" s="7">
        <f t="shared" si="32"/>
        <v>1.1023890784982935</v>
      </c>
      <c r="R192">
        <v>9</v>
      </c>
      <c r="S192">
        <v>34.9</v>
      </c>
      <c r="T192">
        <v>33.6</v>
      </c>
      <c r="U192" s="7">
        <f t="shared" si="33"/>
        <v>1.0386904761904761</v>
      </c>
      <c r="V192">
        <v>9</v>
      </c>
      <c r="W192">
        <v>38.799999999999997</v>
      </c>
      <c r="X192">
        <v>33.4</v>
      </c>
      <c r="Y192" s="7">
        <f t="shared" si="34"/>
        <v>1.1616766467065869</v>
      </c>
    </row>
    <row r="193" spans="1:25" x14ac:dyDescent="0.3">
      <c r="A193">
        <v>10</v>
      </c>
      <c r="B193">
        <v>29.6</v>
      </c>
      <c r="C193">
        <v>27.7</v>
      </c>
      <c r="D193" s="7">
        <f t="shared" si="29"/>
        <v>1.0685920577617329</v>
      </c>
      <c r="E193">
        <v>10</v>
      </c>
      <c r="F193">
        <v>31</v>
      </c>
      <c r="G193">
        <v>27.7</v>
      </c>
      <c r="H193" s="7">
        <f t="shared" si="30"/>
        <v>1.1191335740072204</v>
      </c>
      <c r="I193">
        <v>10</v>
      </c>
      <c r="J193">
        <v>31</v>
      </c>
      <c r="K193">
        <v>27.9</v>
      </c>
      <c r="L193" s="7">
        <f t="shared" si="31"/>
        <v>1.1111111111111112</v>
      </c>
      <c r="N193">
        <v>10</v>
      </c>
      <c r="O193">
        <v>32.1</v>
      </c>
      <c r="P193">
        <v>29.2</v>
      </c>
      <c r="Q193" s="7">
        <f t="shared" si="32"/>
        <v>1.0993150684931507</v>
      </c>
      <c r="R193">
        <v>10</v>
      </c>
      <c r="S193">
        <v>32.200000000000003</v>
      </c>
      <c r="T193">
        <v>33.9</v>
      </c>
      <c r="U193" s="7">
        <f t="shared" si="33"/>
        <v>0.94985250737463134</v>
      </c>
      <c r="V193">
        <v>10</v>
      </c>
      <c r="W193">
        <v>36.299999999999997</v>
      </c>
      <c r="X193">
        <v>33.200000000000003</v>
      </c>
      <c r="Y193" s="7">
        <f t="shared" si="34"/>
        <v>1.0933734939759034</v>
      </c>
    </row>
    <row r="194" spans="1:25" x14ac:dyDescent="0.3">
      <c r="A194">
        <v>11</v>
      </c>
      <c r="B194">
        <v>35.700000000000003</v>
      </c>
      <c r="C194">
        <v>32.200000000000003</v>
      </c>
      <c r="D194" s="7">
        <f t="shared" si="29"/>
        <v>1.1086956521739131</v>
      </c>
      <c r="E194">
        <v>11</v>
      </c>
      <c r="F194">
        <v>35.1</v>
      </c>
      <c r="G194">
        <v>30.2</v>
      </c>
      <c r="H194" s="7">
        <f t="shared" si="30"/>
        <v>1.1622516556291391</v>
      </c>
      <c r="I194">
        <v>11</v>
      </c>
      <c r="J194">
        <v>36.299999999999997</v>
      </c>
      <c r="K194">
        <v>35.4</v>
      </c>
      <c r="L194" s="7">
        <f t="shared" si="31"/>
        <v>1.0254237288135593</v>
      </c>
      <c r="N194">
        <v>11</v>
      </c>
      <c r="O194">
        <v>34.200000000000003</v>
      </c>
      <c r="P194">
        <v>30.4</v>
      </c>
      <c r="Q194" s="7">
        <f t="shared" si="32"/>
        <v>1.1250000000000002</v>
      </c>
      <c r="R194">
        <v>11</v>
      </c>
      <c r="S194">
        <v>34.200000000000003</v>
      </c>
      <c r="T194">
        <v>37.5</v>
      </c>
      <c r="U194" s="7">
        <f t="shared" si="33"/>
        <v>0.91200000000000003</v>
      </c>
      <c r="V194">
        <v>11</v>
      </c>
      <c r="W194">
        <v>28</v>
      </c>
      <c r="X194">
        <v>28.2</v>
      </c>
      <c r="Y194" s="7">
        <f t="shared" si="34"/>
        <v>0.99290780141843971</v>
      </c>
    </row>
    <row r="195" spans="1:25" x14ac:dyDescent="0.3">
      <c r="A195">
        <v>12</v>
      </c>
      <c r="B195">
        <v>30.5</v>
      </c>
      <c r="C195">
        <v>28.7</v>
      </c>
      <c r="D195" s="7">
        <f t="shared" si="29"/>
        <v>1.0627177700348431</v>
      </c>
      <c r="E195">
        <v>12</v>
      </c>
      <c r="F195">
        <v>30.8</v>
      </c>
      <c r="G195">
        <v>28.3</v>
      </c>
      <c r="H195" s="7">
        <f t="shared" si="30"/>
        <v>1.088339222614841</v>
      </c>
      <c r="I195">
        <v>12</v>
      </c>
      <c r="J195">
        <v>31.7</v>
      </c>
      <c r="K195">
        <v>29.2</v>
      </c>
      <c r="L195" s="7">
        <f t="shared" si="31"/>
        <v>1.0856164383561644</v>
      </c>
      <c r="N195">
        <v>12</v>
      </c>
      <c r="O195">
        <v>30.8</v>
      </c>
      <c r="P195">
        <v>31.1</v>
      </c>
      <c r="Q195" s="7">
        <f t="shared" si="32"/>
        <v>0.99035369774919613</v>
      </c>
      <c r="R195">
        <v>12</v>
      </c>
      <c r="S195">
        <v>31</v>
      </c>
      <c r="T195">
        <v>31.8</v>
      </c>
      <c r="U195" s="7">
        <f t="shared" si="33"/>
        <v>0.97484276729559749</v>
      </c>
      <c r="V195">
        <v>12</v>
      </c>
      <c r="W195">
        <v>32.700000000000003</v>
      </c>
      <c r="X195">
        <v>27.4</v>
      </c>
      <c r="Y195" s="7">
        <f t="shared" si="34"/>
        <v>1.1934306569343067</v>
      </c>
    </row>
    <row r="196" spans="1:25" x14ac:dyDescent="0.3">
      <c r="A196">
        <v>13</v>
      </c>
      <c r="B196">
        <v>33.5</v>
      </c>
      <c r="C196">
        <v>28.2</v>
      </c>
      <c r="D196" s="7">
        <f t="shared" si="29"/>
        <v>1.1879432624113475</v>
      </c>
      <c r="E196">
        <v>13</v>
      </c>
      <c r="F196">
        <v>34.5</v>
      </c>
      <c r="G196">
        <v>32.200000000000003</v>
      </c>
      <c r="H196" s="7">
        <f t="shared" si="30"/>
        <v>1.0714285714285714</v>
      </c>
      <c r="I196">
        <v>13</v>
      </c>
      <c r="J196">
        <v>34.5</v>
      </c>
      <c r="K196">
        <v>31.5</v>
      </c>
      <c r="L196" s="7">
        <f t="shared" si="31"/>
        <v>1.0952380952380953</v>
      </c>
      <c r="N196">
        <v>13</v>
      </c>
      <c r="O196">
        <v>30.9</v>
      </c>
      <c r="P196">
        <v>29.6</v>
      </c>
      <c r="Q196" s="7">
        <f t="shared" si="32"/>
        <v>1.0439189189189189</v>
      </c>
      <c r="R196">
        <v>13</v>
      </c>
      <c r="S196">
        <v>28.5</v>
      </c>
      <c r="T196">
        <v>29.3</v>
      </c>
      <c r="U196" s="7">
        <f t="shared" si="33"/>
        <v>0.97269624573378832</v>
      </c>
      <c r="V196">
        <v>13</v>
      </c>
      <c r="W196">
        <v>39</v>
      </c>
      <c r="X196">
        <v>31</v>
      </c>
      <c r="Y196" s="7">
        <f t="shared" si="34"/>
        <v>1.2580645161290323</v>
      </c>
    </row>
    <row r="197" spans="1:25" x14ac:dyDescent="0.3">
      <c r="A197">
        <v>14</v>
      </c>
      <c r="B197">
        <v>36.700000000000003</v>
      </c>
      <c r="C197">
        <v>32.200000000000003</v>
      </c>
      <c r="D197" s="7">
        <f t="shared" si="29"/>
        <v>1.139751552795031</v>
      </c>
      <c r="E197">
        <v>14</v>
      </c>
      <c r="F197">
        <v>39.200000000000003</v>
      </c>
      <c r="G197">
        <v>35.5</v>
      </c>
      <c r="H197" s="7">
        <f t="shared" si="30"/>
        <v>1.1042253521126761</v>
      </c>
      <c r="I197">
        <v>14</v>
      </c>
      <c r="J197">
        <v>29.2</v>
      </c>
      <c r="K197">
        <v>32.700000000000003</v>
      </c>
      <c r="L197" s="7">
        <f t="shared" si="31"/>
        <v>0.89296636085626901</v>
      </c>
      <c r="N197">
        <v>14</v>
      </c>
      <c r="O197">
        <v>33.299999999999997</v>
      </c>
      <c r="P197">
        <v>32.1</v>
      </c>
      <c r="Q197" s="7">
        <f t="shared" si="32"/>
        <v>1.0373831775700932</v>
      </c>
      <c r="R197">
        <v>14</v>
      </c>
      <c r="S197">
        <v>30.7</v>
      </c>
      <c r="T197">
        <v>28.8</v>
      </c>
      <c r="U197" s="7">
        <f t="shared" si="33"/>
        <v>1.0659722222222221</v>
      </c>
      <c r="V197">
        <v>14</v>
      </c>
      <c r="W197">
        <v>28.4</v>
      </c>
      <c r="X197">
        <v>26.6</v>
      </c>
      <c r="Y197" s="7">
        <f t="shared" si="34"/>
        <v>1.0676691729323307</v>
      </c>
    </row>
    <row r="198" spans="1:25" x14ac:dyDescent="0.3">
      <c r="A198">
        <v>15</v>
      </c>
      <c r="B198">
        <v>33.4</v>
      </c>
      <c r="C198">
        <v>31.1</v>
      </c>
      <c r="D198" s="7">
        <f t="shared" si="29"/>
        <v>1.0739549839228295</v>
      </c>
      <c r="E198">
        <v>15</v>
      </c>
      <c r="F198">
        <v>34</v>
      </c>
      <c r="G198">
        <v>32.6</v>
      </c>
      <c r="H198" s="7">
        <f t="shared" si="30"/>
        <v>1.0429447852760736</v>
      </c>
      <c r="I198">
        <v>15</v>
      </c>
      <c r="J198">
        <v>30</v>
      </c>
      <c r="K198">
        <v>29.3</v>
      </c>
      <c r="L198" s="7">
        <f t="shared" si="31"/>
        <v>1.0238907849829351</v>
      </c>
      <c r="N198">
        <v>15</v>
      </c>
      <c r="O198">
        <v>32.9</v>
      </c>
      <c r="P198">
        <v>31.8</v>
      </c>
      <c r="Q198" s="7">
        <f t="shared" si="32"/>
        <v>1.0345911949685533</v>
      </c>
      <c r="R198">
        <v>15</v>
      </c>
      <c r="S198">
        <v>31.8</v>
      </c>
      <c r="T198">
        <v>30.4</v>
      </c>
      <c r="U198" s="7">
        <f t="shared" si="33"/>
        <v>1.0460526315789473</v>
      </c>
      <c r="V198">
        <v>15</v>
      </c>
      <c r="W198">
        <v>33.299999999999997</v>
      </c>
      <c r="X198">
        <v>37.4</v>
      </c>
      <c r="Y198" s="7">
        <f t="shared" si="34"/>
        <v>0.89037433155080214</v>
      </c>
    </row>
    <row r="199" spans="1:25" x14ac:dyDescent="0.3">
      <c r="A199">
        <v>16</v>
      </c>
      <c r="B199">
        <v>30.6</v>
      </c>
      <c r="C199">
        <v>30.1</v>
      </c>
      <c r="D199" s="7">
        <f t="shared" si="29"/>
        <v>1.0166112956810631</v>
      </c>
      <c r="E199">
        <v>16</v>
      </c>
      <c r="F199">
        <v>34.200000000000003</v>
      </c>
      <c r="G199">
        <v>30</v>
      </c>
      <c r="H199" s="7">
        <f t="shared" si="30"/>
        <v>1.1400000000000001</v>
      </c>
      <c r="I199">
        <v>16</v>
      </c>
      <c r="J199">
        <v>37.700000000000003</v>
      </c>
      <c r="K199">
        <v>31.8</v>
      </c>
      <c r="L199" s="7">
        <f t="shared" si="31"/>
        <v>1.1855345911949686</v>
      </c>
      <c r="N199">
        <v>16</v>
      </c>
      <c r="O199">
        <v>32.700000000000003</v>
      </c>
      <c r="P199">
        <v>28.7</v>
      </c>
      <c r="Q199" s="7">
        <f t="shared" si="32"/>
        <v>1.1393728222996518</v>
      </c>
      <c r="R199">
        <v>16</v>
      </c>
      <c r="S199">
        <v>34.5</v>
      </c>
      <c r="T199">
        <v>30.2</v>
      </c>
      <c r="U199" s="7">
        <f t="shared" si="33"/>
        <v>1.1423841059602649</v>
      </c>
      <c r="V199">
        <v>16</v>
      </c>
      <c r="W199">
        <v>30.5</v>
      </c>
      <c r="X199">
        <v>25.7</v>
      </c>
      <c r="Y199" s="7">
        <f t="shared" si="34"/>
        <v>1.1867704280155642</v>
      </c>
    </row>
    <row r="200" spans="1:25" x14ac:dyDescent="0.3">
      <c r="A200">
        <v>17</v>
      </c>
      <c r="B200">
        <v>31.5</v>
      </c>
      <c r="C200">
        <v>30.4</v>
      </c>
      <c r="D200" s="7">
        <f t="shared" si="29"/>
        <v>1.0361842105263159</v>
      </c>
      <c r="E200">
        <v>17</v>
      </c>
      <c r="F200">
        <v>32.5</v>
      </c>
      <c r="G200">
        <v>31.9</v>
      </c>
      <c r="H200" s="7">
        <f t="shared" si="30"/>
        <v>1.0188087774294672</v>
      </c>
      <c r="I200">
        <v>17</v>
      </c>
      <c r="J200">
        <v>38.799999999999997</v>
      </c>
      <c r="K200">
        <v>34.299999999999997</v>
      </c>
      <c r="L200" s="7">
        <f t="shared" si="31"/>
        <v>1.1311953352769679</v>
      </c>
      <c r="N200">
        <v>17</v>
      </c>
      <c r="O200">
        <v>30.8</v>
      </c>
      <c r="P200">
        <v>31.1</v>
      </c>
      <c r="Q200" s="7">
        <f t="shared" si="32"/>
        <v>0.99035369774919613</v>
      </c>
      <c r="R200">
        <v>17</v>
      </c>
      <c r="S200">
        <v>39.799999999999997</v>
      </c>
      <c r="T200">
        <v>35.4</v>
      </c>
      <c r="U200" s="7">
        <f t="shared" si="33"/>
        <v>1.1242937853107344</v>
      </c>
      <c r="V200">
        <v>17</v>
      </c>
      <c r="W200">
        <v>36.6</v>
      </c>
      <c r="X200">
        <v>36</v>
      </c>
      <c r="Y200" s="7">
        <f t="shared" si="34"/>
        <v>1.0166666666666666</v>
      </c>
    </row>
    <row r="201" spans="1:25" x14ac:dyDescent="0.3">
      <c r="A201">
        <v>18</v>
      </c>
      <c r="B201">
        <v>33.6</v>
      </c>
      <c r="C201">
        <v>30.8</v>
      </c>
      <c r="D201" s="7">
        <f t="shared" si="29"/>
        <v>1.0909090909090908</v>
      </c>
      <c r="E201">
        <v>18</v>
      </c>
      <c r="F201">
        <v>34.799999999999997</v>
      </c>
      <c r="G201">
        <v>30.8</v>
      </c>
      <c r="H201" s="7">
        <f t="shared" si="30"/>
        <v>1.1298701298701297</v>
      </c>
      <c r="I201">
        <v>18</v>
      </c>
      <c r="J201">
        <v>33</v>
      </c>
      <c r="K201">
        <v>29</v>
      </c>
      <c r="L201" s="7">
        <f t="shared" si="31"/>
        <v>1.1379310344827587</v>
      </c>
      <c r="N201">
        <v>18</v>
      </c>
      <c r="O201">
        <v>31.3</v>
      </c>
      <c r="P201">
        <v>30.1</v>
      </c>
      <c r="Q201" s="7">
        <f t="shared" si="32"/>
        <v>1.0398671096345515</v>
      </c>
      <c r="R201">
        <v>18</v>
      </c>
      <c r="S201">
        <v>34.700000000000003</v>
      </c>
      <c r="T201">
        <v>30.3</v>
      </c>
      <c r="U201" s="7">
        <f t="shared" si="33"/>
        <v>1.1452145214521452</v>
      </c>
      <c r="V201">
        <v>18</v>
      </c>
      <c r="W201">
        <v>30.6</v>
      </c>
      <c r="X201">
        <v>31.3</v>
      </c>
      <c r="Y201" s="7">
        <f t="shared" si="34"/>
        <v>0.97763578274760388</v>
      </c>
    </row>
    <row r="202" spans="1:25" x14ac:dyDescent="0.3">
      <c r="A202">
        <v>19</v>
      </c>
      <c r="B202">
        <v>32.1</v>
      </c>
      <c r="C202">
        <v>27.7</v>
      </c>
      <c r="D202" s="7">
        <f t="shared" si="29"/>
        <v>1.1588447653429603</v>
      </c>
      <c r="E202">
        <v>19</v>
      </c>
      <c r="F202">
        <v>27.6</v>
      </c>
      <c r="G202">
        <v>27.4</v>
      </c>
      <c r="H202" s="7">
        <f t="shared" si="30"/>
        <v>1.0072992700729928</v>
      </c>
      <c r="I202">
        <v>19</v>
      </c>
      <c r="J202">
        <v>33.1</v>
      </c>
      <c r="K202">
        <v>29.4</v>
      </c>
      <c r="L202" s="7">
        <f t="shared" si="31"/>
        <v>1.1258503401360545</v>
      </c>
      <c r="N202">
        <v>19</v>
      </c>
      <c r="O202">
        <v>30.3</v>
      </c>
      <c r="P202">
        <v>28.7</v>
      </c>
      <c r="Q202" s="7">
        <f t="shared" si="32"/>
        <v>1.0557491289198606</v>
      </c>
      <c r="R202">
        <v>19</v>
      </c>
      <c r="S202">
        <v>34.200000000000003</v>
      </c>
      <c r="T202">
        <v>39.799999999999997</v>
      </c>
      <c r="U202" s="7">
        <f t="shared" si="33"/>
        <v>0.85929648241206047</v>
      </c>
      <c r="V202">
        <v>19</v>
      </c>
      <c r="W202">
        <v>38.200000000000003</v>
      </c>
      <c r="X202">
        <v>36.9</v>
      </c>
      <c r="Y202" s="7">
        <f t="shared" si="34"/>
        <v>1.0352303523035231</v>
      </c>
    </row>
    <row r="203" spans="1:25" x14ac:dyDescent="0.3">
      <c r="A203">
        <v>20</v>
      </c>
      <c r="B203">
        <v>29.5</v>
      </c>
      <c r="C203">
        <v>28.1</v>
      </c>
      <c r="D203" s="7">
        <f t="shared" si="29"/>
        <v>1.0498220640569393</v>
      </c>
      <c r="E203">
        <v>20</v>
      </c>
      <c r="F203">
        <v>33.200000000000003</v>
      </c>
      <c r="G203">
        <v>29.9</v>
      </c>
      <c r="H203" s="7">
        <f t="shared" si="30"/>
        <v>1.1103678929765888</v>
      </c>
      <c r="I203">
        <v>20</v>
      </c>
      <c r="J203">
        <v>38.299999999999997</v>
      </c>
      <c r="K203">
        <v>33.6</v>
      </c>
      <c r="L203" s="7">
        <f t="shared" si="31"/>
        <v>1.1398809523809523</v>
      </c>
      <c r="N203">
        <v>20</v>
      </c>
      <c r="O203">
        <v>32.6</v>
      </c>
      <c r="P203">
        <v>30.1</v>
      </c>
      <c r="Q203" s="7">
        <f t="shared" si="32"/>
        <v>1.0830564784053156</v>
      </c>
      <c r="R203">
        <v>20</v>
      </c>
      <c r="S203">
        <v>32.9</v>
      </c>
      <c r="T203">
        <v>31.3</v>
      </c>
      <c r="U203" s="7">
        <f t="shared" si="33"/>
        <v>1.0511182108626198</v>
      </c>
      <c r="V203">
        <v>20</v>
      </c>
      <c r="W203">
        <v>30.7</v>
      </c>
      <c r="X203">
        <v>30.1</v>
      </c>
      <c r="Y203" s="7">
        <f t="shared" si="34"/>
        <v>1.0199335548172757</v>
      </c>
    </row>
    <row r="204" spans="1:25" x14ac:dyDescent="0.3">
      <c r="A204">
        <v>21</v>
      </c>
      <c r="B204">
        <v>35.6</v>
      </c>
      <c r="C204">
        <v>30.4</v>
      </c>
      <c r="D204" s="7">
        <f t="shared" si="29"/>
        <v>1.1710526315789476</v>
      </c>
      <c r="E204">
        <v>21</v>
      </c>
      <c r="F204">
        <v>32.6</v>
      </c>
      <c r="G204">
        <v>28</v>
      </c>
      <c r="H204" s="7">
        <f t="shared" si="30"/>
        <v>1.1642857142857144</v>
      </c>
      <c r="I204">
        <v>21</v>
      </c>
      <c r="J204">
        <v>34.6</v>
      </c>
      <c r="K204">
        <v>31.3</v>
      </c>
      <c r="L204" s="7">
        <f t="shared" si="31"/>
        <v>1.1054313099041533</v>
      </c>
      <c r="N204">
        <v>21</v>
      </c>
      <c r="O204">
        <v>31.7</v>
      </c>
      <c r="P204">
        <v>27</v>
      </c>
      <c r="Q204" s="7">
        <f t="shared" si="32"/>
        <v>1.174074074074074</v>
      </c>
      <c r="R204">
        <v>21</v>
      </c>
      <c r="S204">
        <v>33.4</v>
      </c>
      <c r="T204">
        <v>35.6</v>
      </c>
      <c r="U204" s="7">
        <f t="shared" si="33"/>
        <v>0.9382022471910112</v>
      </c>
      <c r="V204">
        <v>21</v>
      </c>
      <c r="W204">
        <v>35</v>
      </c>
      <c r="X204">
        <v>35.4</v>
      </c>
      <c r="Y204" s="7">
        <f t="shared" si="34"/>
        <v>0.98870056497175141</v>
      </c>
    </row>
    <row r="205" spans="1:25" x14ac:dyDescent="0.3">
      <c r="A205">
        <v>22</v>
      </c>
      <c r="B205">
        <v>35</v>
      </c>
      <c r="C205">
        <v>33.4</v>
      </c>
      <c r="D205" s="7">
        <f t="shared" si="29"/>
        <v>1.0479041916167664</v>
      </c>
      <c r="E205">
        <v>22</v>
      </c>
      <c r="F205">
        <v>37.5</v>
      </c>
      <c r="G205">
        <v>34.200000000000003</v>
      </c>
      <c r="H205" s="7">
        <f t="shared" si="30"/>
        <v>1.0964912280701753</v>
      </c>
      <c r="I205">
        <v>22</v>
      </c>
      <c r="J205">
        <v>34.1</v>
      </c>
      <c r="K205">
        <v>31.7</v>
      </c>
      <c r="L205" s="7">
        <f t="shared" si="31"/>
        <v>1.0757097791798107</v>
      </c>
      <c r="N205">
        <v>22</v>
      </c>
      <c r="O205">
        <v>31.8</v>
      </c>
      <c r="P205">
        <v>32</v>
      </c>
      <c r="Q205" s="7">
        <f t="shared" si="32"/>
        <v>0.99375000000000002</v>
      </c>
      <c r="R205">
        <v>22</v>
      </c>
      <c r="S205">
        <v>35.700000000000003</v>
      </c>
      <c r="T205">
        <v>34.1</v>
      </c>
      <c r="U205" s="7">
        <f t="shared" si="33"/>
        <v>1.0469208211143695</v>
      </c>
      <c r="V205">
        <v>22</v>
      </c>
      <c r="W205">
        <v>39.700000000000003</v>
      </c>
      <c r="X205">
        <v>36.700000000000003</v>
      </c>
      <c r="Y205" s="7">
        <f t="shared" si="34"/>
        <v>1.0817438692098094</v>
      </c>
    </row>
    <row r="206" spans="1:25" x14ac:dyDescent="0.3">
      <c r="A206">
        <v>23</v>
      </c>
      <c r="B206">
        <v>30.2</v>
      </c>
      <c r="C206">
        <v>30</v>
      </c>
      <c r="D206" s="7">
        <f t="shared" si="29"/>
        <v>1.0066666666666666</v>
      </c>
      <c r="E206">
        <v>23</v>
      </c>
      <c r="F206">
        <v>31.6</v>
      </c>
      <c r="G206">
        <v>30.9</v>
      </c>
      <c r="H206" s="7">
        <f t="shared" si="30"/>
        <v>1.022653721682848</v>
      </c>
      <c r="I206">
        <v>23</v>
      </c>
      <c r="J206">
        <v>34.200000000000003</v>
      </c>
      <c r="K206">
        <v>31.4</v>
      </c>
      <c r="L206" s="7">
        <f t="shared" si="31"/>
        <v>1.0891719745222932</v>
      </c>
      <c r="N206">
        <v>23</v>
      </c>
      <c r="O206">
        <v>39</v>
      </c>
      <c r="P206">
        <v>33.700000000000003</v>
      </c>
      <c r="Q206" s="7">
        <f t="shared" si="32"/>
        <v>1.1572700296735905</v>
      </c>
      <c r="R206">
        <v>23</v>
      </c>
      <c r="S206">
        <v>32.4</v>
      </c>
      <c r="T206">
        <v>30.7</v>
      </c>
      <c r="U206" s="7">
        <f t="shared" si="33"/>
        <v>1.0553745928338762</v>
      </c>
      <c r="V206">
        <v>23</v>
      </c>
      <c r="W206">
        <v>34.4</v>
      </c>
      <c r="X206">
        <v>32.299999999999997</v>
      </c>
      <c r="Y206" s="7">
        <f t="shared" si="34"/>
        <v>1.0650154798761611</v>
      </c>
    </row>
    <row r="207" spans="1:25" x14ac:dyDescent="0.3">
      <c r="A207">
        <v>24</v>
      </c>
      <c r="B207">
        <v>31.3</v>
      </c>
      <c r="C207">
        <v>25.9</v>
      </c>
      <c r="D207" s="7">
        <f t="shared" si="29"/>
        <v>1.2084942084942085</v>
      </c>
      <c r="E207">
        <v>24</v>
      </c>
      <c r="F207">
        <v>33.799999999999997</v>
      </c>
      <c r="G207">
        <v>28.6</v>
      </c>
      <c r="H207" s="7">
        <f t="shared" si="30"/>
        <v>1.1818181818181817</v>
      </c>
      <c r="I207">
        <v>24</v>
      </c>
      <c r="J207">
        <v>35.299999999999997</v>
      </c>
      <c r="K207">
        <v>31.1</v>
      </c>
      <c r="L207" s="7">
        <f t="shared" si="31"/>
        <v>1.1350482315112538</v>
      </c>
      <c r="N207">
        <v>24</v>
      </c>
      <c r="O207">
        <v>30.4</v>
      </c>
      <c r="P207">
        <v>29.9</v>
      </c>
      <c r="Q207" s="7">
        <f t="shared" si="32"/>
        <v>1.0167224080267558</v>
      </c>
      <c r="R207">
        <v>24</v>
      </c>
      <c r="S207">
        <v>37.700000000000003</v>
      </c>
      <c r="T207">
        <v>30.4</v>
      </c>
      <c r="U207" s="7">
        <f t="shared" si="33"/>
        <v>1.2401315789473686</v>
      </c>
      <c r="V207">
        <v>24</v>
      </c>
      <c r="W207">
        <v>39.5</v>
      </c>
      <c r="X207">
        <v>36.5</v>
      </c>
      <c r="Y207" s="7">
        <f t="shared" si="34"/>
        <v>1.0821917808219179</v>
      </c>
    </row>
    <row r="208" spans="1:25" x14ac:dyDescent="0.3">
      <c r="A208">
        <v>25</v>
      </c>
      <c r="B208">
        <v>31.2</v>
      </c>
      <c r="C208">
        <v>29.2</v>
      </c>
      <c r="D208" s="7">
        <f t="shared" si="29"/>
        <v>1.0684931506849316</v>
      </c>
      <c r="E208">
        <v>25</v>
      </c>
      <c r="F208">
        <v>34</v>
      </c>
      <c r="G208">
        <v>29.5</v>
      </c>
      <c r="H208" s="7">
        <f t="shared" si="30"/>
        <v>1.152542372881356</v>
      </c>
      <c r="I208">
        <v>25</v>
      </c>
      <c r="J208">
        <v>34.1</v>
      </c>
      <c r="K208">
        <v>31.8</v>
      </c>
      <c r="L208" s="7">
        <f t="shared" si="31"/>
        <v>1.0723270440251573</v>
      </c>
      <c r="N208">
        <v>25</v>
      </c>
      <c r="O208">
        <v>32.299999999999997</v>
      </c>
      <c r="P208">
        <v>30.6</v>
      </c>
      <c r="Q208" s="7">
        <f t="shared" si="32"/>
        <v>1.0555555555555554</v>
      </c>
      <c r="R208">
        <v>25</v>
      </c>
      <c r="S208">
        <v>35.1</v>
      </c>
      <c r="T208">
        <v>34.700000000000003</v>
      </c>
      <c r="U208" s="7">
        <f t="shared" si="33"/>
        <v>1.0115273775216138</v>
      </c>
      <c r="V208">
        <v>25</v>
      </c>
      <c r="W208">
        <v>40.6</v>
      </c>
      <c r="X208">
        <v>35.4</v>
      </c>
      <c r="Y208" s="7">
        <f t="shared" si="34"/>
        <v>1.1468926553672316</v>
      </c>
    </row>
    <row r="209" spans="1:25" x14ac:dyDescent="0.3">
      <c r="A209">
        <v>26</v>
      </c>
      <c r="B209">
        <v>38.1</v>
      </c>
      <c r="C209">
        <v>33.4</v>
      </c>
      <c r="D209" s="7">
        <f t="shared" si="29"/>
        <v>1.1407185628742516</v>
      </c>
      <c r="E209">
        <v>26</v>
      </c>
      <c r="F209">
        <v>38.299999999999997</v>
      </c>
      <c r="G209">
        <v>34.200000000000003</v>
      </c>
      <c r="H209" s="7">
        <f t="shared" si="30"/>
        <v>1.1198830409356724</v>
      </c>
      <c r="I209">
        <v>26</v>
      </c>
      <c r="J209">
        <v>36</v>
      </c>
      <c r="K209">
        <v>31.9</v>
      </c>
      <c r="L209" s="7">
        <f t="shared" si="31"/>
        <v>1.1285266457680252</v>
      </c>
      <c r="N209">
        <v>26</v>
      </c>
      <c r="O209">
        <v>37.799999999999997</v>
      </c>
      <c r="P209">
        <v>32.9</v>
      </c>
      <c r="Q209" s="7">
        <f t="shared" si="32"/>
        <v>1.1489361702127658</v>
      </c>
      <c r="R209">
        <v>26</v>
      </c>
      <c r="S209">
        <v>40</v>
      </c>
      <c r="T209">
        <v>34.9</v>
      </c>
      <c r="U209" s="7">
        <f t="shared" si="33"/>
        <v>1.1461318051575933</v>
      </c>
      <c r="V209">
        <v>26</v>
      </c>
      <c r="W209">
        <v>39.5</v>
      </c>
      <c r="X209">
        <v>39.200000000000003</v>
      </c>
      <c r="Y209" s="7">
        <f t="shared" si="34"/>
        <v>1.0076530612244898</v>
      </c>
    </row>
    <row r="210" spans="1:25" x14ac:dyDescent="0.3">
      <c r="A210">
        <v>27</v>
      </c>
      <c r="B210">
        <v>30.9</v>
      </c>
      <c r="C210">
        <v>30.5</v>
      </c>
      <c r="D210" s="7">
        <f t="shared" si="29"/>
        <v>1.0131147540983607</v>
      </c>
      <c r="E210">
        <v>27</v>
      </c>
      <c r="F210">
        <v>31</v>
      </c>
      <c r="G210">
        <v>28.2</v>
      </c>
      <c r="H210" s="7">
        <f t="shared" si="30"/>
        <v>1.0992907801418439</v>
      </c>
      <c r="I210">
        <v>27</v>
      </c>
      <c r="J210">
        <v>32.1</v>
      </c>
      <c r="K210">
        <v>28.5</v>
      </c>
      <c r="L210" s="7">
        <f t="shared" si="31"/>
        <v>1.1263157894736842</v>
      </c>
      <c r="N210">
        <v>27</v>
      </c>
      <c r="O210">
        <v>33.700000000000003</v>
      </c>
      <c r="P210">
        <v>33.9</v>
      </c>
      <c r="Q210" s="7">
        <f t="shared" si="32"/>
        <v>0.99410029498525088</v>
      </c>
      <c r="R210">
        <v>27</v>
      </c>
      <c r="S210">
        <v>33.9</v>
      </c>
      <c r="T210">
        <v>32.299999999999997</v>
      </c>
      <c r="U210" s="7">
        <f t="shared" si="33"/>
        <v>1.0495356037151704</v>
      </c>
      <c r="V210">
        <v>27</v>
      </c>
      <c r="W210">
        <v>32.1</v>
      </c>
      <c r="X210">
        <v>29.2</v>
      </c>
      <c r="Y210" s="7">
        <f t="shared" si="34"/>
        <v>1.0993150684931507</v>
      </c>
    </row>
    <row r="211" spans="1:25" x14ac:dyDescent="0.3">
      <c r="A211">
        <v>28</v>
      </c>
      <c r="B211">
        <v>31.2</v>
      </c>
      <c r="C211">
        <v>27.4</v>
      </c>
      <c r="D211" s="7">
        <f t="shared" si="29"/>
        <v>1.1386861313868613</v>
      </c>
      <c r="E211">
        <v>28</v>
      </c>
      <c r="F211">
        <v>32.299999999999997</v>
      </c>
      <c r="G211">
        <v>31.4</v>
      </c>
      <c r="H211" s="7">
        <f t="shared" si="30"/>
        <v>1.0286624203821655</v>
      </c>
      <c r="I211">
        <v>28</v>
      </c>
      <c r="J211">
        <v>33.700000000000003</v>
      </c>
      <c r="K211">
        <v>31.4</v>
      </c>
      <c r="L211" s="7">
        <f t="shared" si="31"/>
        <v>1.0732484076433122</v>
      </c>
      <c r="N211">
        <v>28</v>
      </c>
      <c r="O211">
        <v>36.700000000000003</v>
      </c>
      <c r="P211">
        <v>27.4</v>
      </c>
      <c r="Q211" s="7">
        <f t="shared" si="32"/>
        <v>1.3394160583941608</v>
      </c>
      <c r="R211">
        <v>28</v>
      </c>
      <c r="S211">
        <v>33.200000000000003</v>
      </c>
      <c r="T211">
        <v>31.2</v>
      </c>
      <c r="U211" s="7">
        <f t="shared" si="33"/>
        <v>1.0641025641025643</v>
      </c>
      <c r="V211">
        <v>28</v>
      </c>
      <c r="W211">
        <v>32.4</v>
      </c>
      <c r="X211">
        <v>29.9</v>
      </c>
      <c r="Y211" s="7">
        <f t="shared" si="34"/>
        <v>1.0836120401337792</v>
      </c>
    </row>
    <row r="212" spans="1:25" x14ac:dyDescent="0.3">
      <c r="A212">
        <v>29</v>
      </c>
      <c r="B212">
        <v>29.9</v>
      </c>
      <c r="C212">
        <v>26.3</v>
      </c>
      <c r="D212" s="7">
        <f t="shared" si="29"/>
        <v>1.1368821292775664</v>
      </c>
      <c r="E212">
        <v>29</v>
      </c>
      <c r="F212">
        <v>32.5</v>
      </c>
      <c r="G212">
        <v>29.3</v>
      </c>
      <c r="H212" s="7">
        <f t="shared" si="30"/>
        <v>1.1092150170648465</v>
      </c>
      <c r="I212">
        <v>29</v>
      </c>
      <c r="J212">
        <v>31.6</v>
      </c>
      <c r="K212">
        <v>30.7</v>
      </c>
      <c r="L212" s="7">
        <f t="shared" si="31"/>
        <v>1.0293159609120521</v>
      </c>
      <c r="N212">
        <v>29</v>
      </c>
      <c r="O212">
        <v>39.1</v>
      </c>
      <c r="P212">
        <v>34.700000000000003</v>
      </c>
      <c r="Q212" s="7">
        <f t="shared" si="32"/>
        <v>1.1268011527377522</v>
      </c>
      <c r="R212">
        <v>29</v>
      </c>
      <c r="S212">
        <v>32.799999999999997</v>
      </c>
      <c r="T212">
        <v>29.9</v>
      </c>
      <c r="U212" s="7">
        <f t="shared" si="33"/>
        <v>1.0969899665551839</v>
      </c>
      <c r="V212">
        <v>29</v>
      </c>
      <c r="W212">
        <v>38.5</v>
      </c>
      <c r="X212">
        <v>36.200000000000003</v>
      </c>
      <c r="Y212" s="7">
        <f t="shared" si="34"/>
        <v>1.0635359116022098</v>
      </c>
    </row>
    <row r="213" spans="1:25" x14ac:dyDescent="0.3">
      <c r="A213">
        <v>30</v>
      </c>
      <c r="B213">
        <v>30.6</v>
      </c>
      <c r="C213">
        <v>29.8</v>
      </c>
      <c r="D213" s="7">
        <f t="shared" si="29"/>
        <v>1.0268456375838926</v>
      </c>
      <c r="E213">
        <v>30</v>
      </c>
      <c r="F213">
        <v>30.1</v>
      </c>
      <c r="G213">
        <v>29.9</v>
      </c>
      <c r="H213" s="7">
        <f t="shared" si="30"/>
        <v>1.0066889632107023</v>
      </c>
      <c r="I213">
        <v>30</v>
      </c>
      <c r="J213">
        <v>33</v>
      </c>
      <c r="K213">
        <v>31.6</v>
      </c>
      <c r="L213" s="7">
        <f t="shared" si="31"/>
        <v>1.0443037974683544</v>
      </c>
      <c r="N213">
        <v>30</v>
      </c>
      <c r="O213">
        <v>36.799999999999997</v>
      </c>
      <c r="P213">
        <v>32.5</v>
      </c>
      <c r="Q213" s="7">
        <f t="shared" si="32"/>
        <v>1.1323076923076922</v>
      </c>
      <c r="R213">
        <v>30</v>
      </c>
      <c r="S213">
        <v>34.200000000000003</v>
      </c>
      <c r="T213">
        <v>33.5</v>
      </c>
      <c r="U213" s="7">
        <f t="shared" si="33"/>
        <v>1.0208955223880598</v>
      </c>
      <c r="V213">
        <v>30</v>
      </c>
      <c r="W213">
        <v>33.799999999999997</v>
      </c>
      <c r="X213">
        <v>31.4</v>
      </c>
      <c r="Y213" s="7">
        <f t="shared" si="34"/>
        <v>1.0764331210191083</v>
      </c>
    </row>
    <row r="215" spans="1:25" x14ac:dyDescent="0.3">
      <c r="A215" s="23" t="s">
        <v>30</v>
      </c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N215" s="23" t="s">
        <v>31</v>
      </c>
      <c r="O215" s="23"/>
      <c r="P215" s="23"/>
      <c r="Q215" s="23"/>
      <c r="R215" s="23"/>
      <c r="S215" s="23"/>
      <c r="T215" s="23"/>
      <c r="U215" s="23"/>
      <c r="V215" s="23"/>
      <c r="W215" s="23"/>
      <c r="X215" s="23"/>
    </row>
    <row r="217" spans="1:25" x14ac:dyDescent="0.3">
      <c r="A217" s="6" t="s">
        <v>3</v>
      </c>
      <c r="E217" s="6" t="s">
        <v>2</v>
      </c>
      <c r="I217" s="6" t="s">
        <v>0</v>
      </c>
      <c r="N217" s="6" t="s">
        <v>3</v>
      </c>
      <c r="R217" s="6" t="s">
        <v>2</v>
      </c>
      <c r="V217" s="6" t="s">
        <v>0</v>
      </c>
    </row>
    <row r="218" spans="1:25" x14ac:dyDescent="0.3">
      <c r="A218" t="s">
        <v>16</v>
      </c>
      <c r="B218" t="s">
        <v>17</v>
      </c>
      <c r="C218" t="s">
        <v>18</v>
      </c>
      <c r="D218" t="s">
        <v>19</v>
      </c>
      <c r="E218" t="s">
        <v>16</v>
      </c>
      <c r="F218" t="s">
        <v>17</v>
      </c>
      <c r="G218" t="s">
        <v>18</v>
      </c>
      <c r="H218" t="s">
        <v>19</v>
      </c>
      <c r="I218" t="s">
        <v>16</v>
      </c>
      <c r="J218" t="s">
        <v>17</v>
      </c>
      <c r="K218" t="s">
        <v>18</v>
      </c>
      <c r="L218" t="s">
        <v>19</v>
      </c>
      <c r="N218" t="s">
        <v>16</v>
      </c>
      <c r="O218" t="s">
        <v>17</v>
      </c>
      <c r="P218" t="s">
        <v>18</v>
      </c>
      <c r="Q218" t="s">
        <v>19</v>
      </c>
      <c r="R218" t="s">
        <v>16</v>
      </c>
      <c r="S218" t="s">
        <v>17</v>
      </c>
      <c r="T218" t="s">
        <v>18</v>
      </c>
      <c r="U218" t="s">
        <v>19</v>
      </c>
      <c r="V218" t="s">
        <v>16</v>
      </c>
      <c r="W218" t="s">
        <v>17</v>
      </c>
      <c r="X218" t="s">
        <v>18</v>
      </c>
      <c r="Y218" t="s">
        <v>19</v>
      </c>
    </row>
    <row r="219" spans="1:25" x14ac:dyDescent="0.3">
      <c r="A219">
        <v>1</v>
      </c>
      <c r="B219">
        <v>28.9</v>
      </c>
      <c r="C219">
        <v>26.7</v>
      </c>
      <c r="D219" s="7">
        <f>B219/C219</f>
        <v>1.0823970037453183</v>
      </c>
      <c r="E219">
        <v>1</v>
      </c>
      <c r="F219">
        <v>33.1</v>
      </c>
      <c r="G219">
        <v>26.4</v>
      </c>
      <c r="H219" s="7">
        <f>F219/G219</f>
        <v>1.2537878787878789</v>
      </c>
      <c r="I219">
        <v>1</v>
      </c>
      <c r="J219">
        <v>29.7</v>
      </c>
      <c r="K219">
        <v>25.4</v>
      </c>
      <c r="L219" s="7">
        <f>J219/K219</f>
        <v>1.1692913385826773</v>
      </c>
      <c r="N219">
        <v>1</v>
      </c>
      <c r="O219">
        <v>30.4</v>
      </c>
      <c r="P219">
        <v>29</v>
      </c>
      <c r="Q219" s="7">
        <f>O219/P219</f>
        <v>1.0482758620689654</v>
      </c>
      <c r="R219">
        <v>1</v>
      </c>
      <c r="S219">
        <v>30.3</v>
      </c>
      <c r="T219">
        <v>30.2</v>
      </c>
      <c r="U219" s="7">
        <f>S219/T219</f>
        <v>1.0033112582781458</v>
      </c>
      <c r="V219">
        <v>1</v>
      </c>
      <c r="W219">
        <v>29.4</v>
      </c>
      <c r="X219">
        <v>26.9</v>
      </c>
      <c r="Y219" s="7">
        <f>W219/X219</f>
        <v>1.0929368029739777</v>
      </c>
    </row>
    <row r="220" spans="1:25" x14ac:dyDescent="0.3">
      <c r="A220">
        <v>2</v>
      </c>
      <c r="B220">
        <v>28.5</v>
      </c>
      <c r="C220">
        <v>24.1</v>
      </c>
      <c r="D220" s="7">
        <f t="shared" ref="D220:D248" si="35">B220/C220</f>
        <v>1.1825726141078838</v>
      </c>
      <c r="E220">
        <v>2</v>
      </c>
      <c r="F220">
        <v>28.8</v>
      </c>
      <c r="G220">
        <v>24.8</v>
      </c>
      <c r="H220" s="7">
        <f t="shared" ref="H220:H248" si="36">F220/G220</f>
        <v>1.1612903225806452</v>
      </c>
      <c r="I220">
        <v>2</v>
      </c>
      <c r="J220">
        <v>31.2</v>
      </c>
      <c r="K220">
        <v>27.4</v>
      </c>
      <c r="L220" s="7">
        <f t="shared" ref="L220:L248" si="37">J220/K220</f>
        <v>1.1386861313868613</v>
      </c>
      <c r="N220">
        <v>2</v>
      </c>
      <c r="O220">
        <v>30.8</v>
      </c>
      <c r="P220">
        <v>29.4</v>
      </c>
      <c r="Q220" s="7">
        <f t="shared" ref="Q220:Q248" si="38">O220/P220</f>
        <v>1.0476190476190477</v>
      </c>
      <c r="R220">
        <v>2</v>
      </c>
      <c r="S220">
        <v>28.6</v>
      </c>
      <c r="T220">
        <v>29</v>
      </c>
      <c r="U220" s="7">
        <f t="shared" ref="U220:U248" si="39">S220/T220</f>
        <v>0.98620689655172422</v>
      </c>
      <c r="V220">
        <v>2</v>
      </c>
      <c r="W220">
        <v>28</v>
      </c>
      <c r="X220">
        <v>28.1</v>
      </c>
      <c r="Y220" s="7">
        <f t="shared" ref="Y220:Y248" si="40">W220/X220</f>
        <v>0.99644128113878994</v>
      </c>
    </row>
    <row r="221" spans="1:25" x14ac:dyDescent="0.3">
      <c r="A221">
        <v>3</v>
      </c>
      <c r="B221">
        <v>29.3</v>
      </c>
      <c r="C221">
        <v>23.7</v>
      </c>
      <c r="D221" s="7">
        <f t="shared" si="35"/>
        <v>1.2362869198312236</v>
      </c>
      <c r="E221">
        <v>3</v>
      </c>
      <c r="F221">
        <v>32.4</v>
      </c>
      <c r="G221">
        <v>29.2</v>
      </c>
      <c r="H221" s="7">
        <f t="shared" si="36"/>
        <v>1.1095890410958904</v>
      </c>
      <c r="I221">
        <v>3</v>
      </c>
      <c r="J221">
        <v>30.7</v>
      </c>
      <c r="K221">
        <v>27.9</v>
      </c>
      <c r="L221" s="7">
        <f t="shared" si="37"/>
        <v>1.1003584229390682</v>
      </c>
      <c r="N221">
        <v>3</v>
      </c>
      <c r="O221">
        <v>30.8</v>
      </c>
      <c r="P221">
        <v>29.4</v>
      </c>
      <c r="Q221" s="7">
        <f t="shared" si="38"/>
        <v>1.0476190476190477</v>
      </c>
      <c r="R221">
        <v>3</v>
      </c>
      <c r="S221">
        <v>30.3</v>
      </c>
      <c r="T221">
        <v>29.3</v>
      </c>
      <c r="U221" s="7">
        <f t="shared" si="39"/>
        <v>1.0341296928327646</v>
      </c>
      <c r="V221">
        <v>3</v>
      </c>
      <c r="W221">
        <v>30</v>
      </c>
      <c r="X221">
        <v>27.8</v>
      </c>
      <c r="Y221" s="7">
        <f t="shared" si="40"/>
        <v>1.079136690647482</v>
      </c>
    </row>
    <row r="222" spans="1:25" x14ac:dyDescent="0.3">
      <c r="A222">
        <v>4</v>
      </c>
      <c r="B222">
        <v>32.700000000000003</v>
      </c>
      <c r="C222">
        <v>28.2</v>
      </c>
      <c r="D222" s="7">
        <f t="shared" si="35"/>
        <v>1.1595744680851066</v>
      </c>
      <c r="E222">
        <v>4</v>
      </c>
      <c r="F222">
        <v>31.6</v>
      </c>
      <c r="G222">
        <v>28.2</v>
      </c>
      <c r="H222" s="7">
        <f t="shared" si="36"/>
        <v>1.1205673758865249</v>
      </c>
      <c r="I222">
        <v>4</v>
      </c>
      <c r="J222">
        <v>30.2</v>
      </c>
      <c r="K222">
        <v>26.3</v>
      </c>
      <c r="L222" s="7">
        <f t="shared" si="37"/>
        <v>1.1482889733840305</v>
      </c>
      <c r="N222">
        <v>4</v>
      </c>
      <c r="O222">
        <v>27.6</v>
      </c>
      <c r="P222">
        <v>26.8</v>
      </c>
      <c r="Q222" s="7">
        <f t="shared" si="38"/>
        <v>1.0298507462686568</v>
      </c>
      <c r="R222">
        <v>4</v>
      </c>
      <c r="S222">
        <v>29.4</v>
      </c>
      <c r="T222">
        <v>29.1</v>
      </c>
      <c r="U222" s="7">
        <f t="shared" si="39"/>
        <v>1.0103092783505154</v>
      </c>
      <c r="V222">
        <v>4</v>
      </c>
      <c r="W222">
        <v>32.4</v>
      </c>
      <c r="X222">
        <v>34.700000000000003</v>
      </c>
      <c r="Y222" s="7">
        <f t="shared" si="40"/>
        <v>0.9337175792507203</v>
      </c>
    </row>
    <row r="223" spans="1:25" x14ac:dyDescent="0.3">
      <c r="A223">
        <v>5</v>
      </c>
      <c r="B223">
        <v>32.799999999999997</v>
      </c>
      <c r="C223">
        <v>31</v>
      </c>
      <c r="D223" s="7">
        <f t="shared" si="35"/>
        <v>1.0580645161290321</v>
      </c>
      <c r="E223">
        <v>5</v>
      </c>
      <c r="F223">
        <v>29.7</v>
      </c>
      <c r="G223">
        <v>25.7</v>
      </c>
      <c r="H223" s="7">
        <f t="shared" si="36"/>
        <v>1.1556420233463036</v>
      </c>
      <c r="I223">
        <v>5</v>
      </c>
      <c r="J223">
        <v>28.3</v>
      </c>
      <c r="K223">
        <v>26</v>
      </c>
      <c r="L223" s="7">
        <f t="shared" si="37"/>
        <v>1.0884615384615386</v>
      </c>
      <c r="N223">
        <v>5</v>
      </c>
      <c r="O223">
        <v>31.2</v>
      </c>
      <c r="P223">
        <v>29.7</v>
      </c>
      <c r="Q223" s="7">
        <f t="shared" si="38"/>
        <v>1.0505050505050506</v>
      </c>
      <c r="R223">
        <v>5</v>
      </c>
      <c r="S223">
        <v>34.1</v>
      </c>
      <c r="T223">
        <v>32.700000000000003</v>
      </c>
      <c r="U223" s="7">
        <f t="shared" si="39"/>
        <v>1.0428134556574924</v>
      </c>
      <c r="V223">
        <v>5</v>
      </c>
      <c r="W223">
        <v>29.6</v>
      </c>
      <c r="X223">
        <v>28.1</v>
      </c>
      <c r="Y223" s="7">
        <f t="shared" si="40"/>
        <v>1.0533807829181494</v>
      </c>
    </row>
    <row r="224" spans="1:25" x14ac:dyDescent="0.3">
      <c r="A224">
        <v>6</v>
      </c>
      <c r="B224">
        <v>31.9</v>
      </c>
      <c r="C224">
        <v>29.5</v>
      </c>
      <c r="D224" s="7">
        <f t="shared" si="35"/>
        <v>1.0813559322033899</v>
      </c>
      <c r="E224">
        <v>6</v>
      </c>
      <c r="F224">
        <v>33.700000000000003</v>
      </c>
      <c r="G224">
        <v>28.3</v>
      </c>
      <c r="H224" s="7">
        <f t="shared" si="36"/>
        <v>1.1908127208480566</v>
      </c>
      <c r="I224">
        <v>6</v>
      </c>
      <c r="J224">
        <v>30.1</v>
      </c>
      <c r="K224">
        <v>28.9</v>
      </c>
      <c r="L224" s="7">
        <f t="shared" si="37"/>
        <v>1.0415224913494812</v>
      </c>
      <c r="N224">
        <v>6</v>
      </c>
      <c r="O224">
        <v>30.5</v>
      </c>
      <c r="P224">
        <v>26.8</v>
      </c>
      <c r="Q224" s="7">
        <f t="shared" si="38"/>
        <v>1.1380597014925373</v>
      </c>
      <c r="R224">
        <v>6</v>
      </c>
      <c r="S224">
        <v>36</v>
      </c>
      <c r="T224">
        <v>35.5</v>
      </c>
      <c r="U224" s="7">
        <f t="shared" si="39"/>
        <v>1.0140845070422535</v>
      </c>
      <c r="V224">
        <v>6</v>
      </c>
      <c r="W224">
        <v>29.5</v>
      </c>
      <c r="X224">
        <v>30.1</v>
      </c>
      <c r="Y224" s="7">
        <f t="shared" si="40"/>
        <v>0.98006644518272423</v>
      </c>
    </row>
    <row r="225" spans="1:25" x14ac:dyDescent="0.3">
      <c r="A225">
        <v>7</v>
      </c>
      <c r="B225">
        <v>29.1</v>
      </c>
      <c r="C225">
        <v>25.3</v>
      </c>
      <c r="D225" s="7">
        <f t="shared" si="35"/>
        <v>1.150197628458498</v>
      </c>
      <c r="E225">
        <v>7</v>
      </c>
      <c r="F225">
        <v>31.5</v>
      </c>
      <c r="G225">
        <v>28.3</v>
      </c>
      <c r="H225" s="7">
        <f t="shared" si="36"/>
        <v>1.1130742049469964</v>
      </c>
      <c r="I225">
        <v>7</v>
      </c>
      <c r="J225">
        <v>31.2</v>
      </c>
      <c r="K225">
        <v>29</v>
      </c>
      <c r="L225" s="7">
        <f t="shared" si="37"/>
        <v>1.0758620689655172</v>
      </c>
      <c r="N225">
        <v>7</v>
      </c>
      <c r="O225">
        <v>31</v>
      </c>
      <c r="P225">
        <v>30.2</v>
      </c>
      <c r="Q225" s="7">
        <f t="shared" si="38"/>
        <v>1.0264900662251655</v>
      </c>
      <c r="R225">
        <v>7</v>
      </c>
      <c r="S225">
        <v>31</v>
      </c>
      <c r="T225">
        <v>27.5</v>
      </c>
      <c r="U225" s="7">
        <f t="shared" si="39"/>
        <v>1.1272727272727272</v>
      </c>
      <c r="V225">
        <v>7</v>
      </c>
      <c r="W225">
        <v>38</v>
      </c>
      <c r="X225">
        <v>35.6</v>
      </c>
      <c r="Y225" s="7">
        <f t="shared" si="40"/>
        <v>1.0674157303370786</v>
      </c>
    </row>
    <row r="226" spans="1:25" x14ac:dyDescent="0.3">
      <c r="A226">
        <v>8</v>
      </c>
      <c r="B226">
        <v>27.9</v>
      </c>
      <c r="C226">
        <v>25</v>
      </c>
      <c r="D226" s="7">
        <f t="shared" si="35"/>
        <v>1.1159999999999999</v>
      </c>
      <c r="E226">
        <v>8</v>
      </c>
      <c r="F226">
        <v>30.9</v>
      </c>
      <c r="G226">
        <v>25.6</v>
      </c>
      <c r="H226" s="7">
        <f t="shared" si="36"/>
        <v>1.2070312499999998</v>
      </c>
      <c r="I226">
        <v>8</v>
      </c>
      <c r="J226">
        <v>26.6</v>
      </c>
      <c r="K226">
        <v>23.8</v>
      </c>
      <c r="L226" s="7">
        <f t="shared" si="37"/>
        <v>1.1176470588235294</v>
      </c>
      <c r="N226">
        <v>8</v>
      </c>
      <c r="O226">
        <v>32.200000000000003</v>
      </c>
      <c r="P226">
        <v>29.2</v>
      </c>
      <c r="Q226" s="7">
        <f t="shared" si="38"/>
        <v>1.1027397260273974</v>
      </c>
      <c r="R226">
        <v>8</v>
      </c>
      <c r="S226">
        <v>33.6</v>
      </c>
      <c r="T226">
        <v>31</v>
      </c>
      <c r="U226" s="7">
        <f t="shared" si="39"/>
        <v>1.0838709677419356</v>
      </c>
      <c r="V226">
        <v>8</v>
      </c>
      <c r="W226">
        <v>35.4</v>
      </c>
      <c r="X226">
        <v>35.6</v>
      </c>
      <c r="Y226" s="7">
        <f t="shared" si="40"/>
        <v>0.99438202247190999</v>
      </c>
    </row>
    <row r="227" spans="1:25" x14ac:dyDescent="0.3">
      <c r="A227">
        <v>9</v>
      </c>
      <c r="B227">
        <v>29.2</v>
      </c>
      <c r="C227">
        <v>24.4</v>
      </c>
      <c r="D227" s="7">
        <f t="shared" si="35"/>
        <v>1.1967213114754098</v>
      </c>
      <c r="E227">
        <v>9</v>
      </c>
      <c r="F227">
        <v>34.1</v>
      </c>
      <c r="G227">
        <v>35.4</v>
      </c>
      <c r="H227" s="7">
        <f t="shared" si="36"/>
        <v>0.96327683615819215</v>
      </c>
      <c r="I227">
        <v>9</v>
      </c>
      <c r="J227">
        <v>30.3</v>
      </c>
      <c r="K227">
        <v>26.9</v>
      </c>
      <c r="L227" s="7">
        <f t="shared" si="37"/>
        <v>1.1263940520446099</v>
      </c>
      <c r="N227">
        <v>9</v>
      </c>
      <c r="O227">
        <v>32.4</v>
      </c>
      <c r="P227">
        <v>30.3</v>
      </c>
      <c r="Q227" s="7">
        <f t="shared" si="38"/>
        <v>1.0693069306930691</v>
      </c>
      <c r="R227">
        <v>9</v>
      </c>
      <c r="S227">
        <v>31.2</v>
      </c>
      <c r="T227">
        <v>28.4</v>
      </c>
      <c r="U227" s="7">
        <f t="shared" si="39"/>
        <v>1.0985915492957747</v>
      </c>
      <c r="V227">
        <v>9</v>
      </c>
      <c r="W227">
        <v>33.5</v>
      </c>
      <c r="X227">
        <v>32.299999999999997</v>
      </c>
      <c r="Y227" s="7">
        <f t="shared" si="40"/>
        <v>1.0371517027863777</v>
      </c>
    </row>
    <row r="228" spans="1:25" x14ac:dyDescent="0.3">
      <c r="A228">
        <v>10</v>
      </c>
      <c r="B228">
        <v>33.1</v>
      </c>
      <c r="C228">
        <v>28.6</v>
      </c>
      <c r="D228" s="7">
        <f t="shared" si="35"/>
        <v>1.1573426573426573</v>
      </c>
      <c r="E228">
        <v>10</v>
      </c>
      <c r="F228">
        <v>32.4</v>
      </c>
      <c r="G228">
        <v>28.2</v>
      </c>
      <c r="H228" s="7">
        <f t="shared" si="36"/>
        <v>1.1489361702127658</v>
      </c>
      <c r="I228">
        <v>10</v>
      </c>
      <c r="J228">
        <v>32.799999999999997</v>
      </c>
      <c r="K228">
        <v>26.9</v>
      </c>
      <c r="L228" s="7">
        <f t="shared" si="37"/>
        <v>1.2193308550185873</v>
      </c>
      <c r="N228">
        <v>10</v>
      </c>
      <c r="O228">
        <v>36.6</v>
      </c>
      <c r="P228">
        <v>37.1</v>
      </c>
      <c r="Q228" s="7">
        <f t="shared" si="38"/>
        <v>0.98652291105121293</v>
      </c>
      <c r="R228">
        <v>10</v>
      </c>
      <c r="S228">
        <v>34</v>
      </c>
      <c r="T228">
        <v>35</v>
      </c>
      <c r="U228" s="7">
        <f t="shared" si="39"/>
        <v>0.97142857142857142</v>
      </c>
      <c r="V228">
        <v>10</v>
      </c>
      <c r="W228">
        <v>31.8</v>
      </c>
      <c r="X228">
        <v>28.7</v>
      </c>
      <c r="Y228" s="7">
        <f t="shared" si="40"/>
        <v>1.10801393728223</v>
      </c>
    </row>
    <row r="229" spans="1:25" x14ac:dyDescent="0.3">
      <c r="A229">
        <v>11</v>
      </c>
      <c r="B229">
        <v>35.700000000000003</v>
      </c>
      <c r="C229">
        <v>29.5</v>
      </c>
      <c r="D229" s="7">
        <f t="shared" si="35"/>
        <v>1.2101694915254237</v>
      </c>
      <c r="E229">
        <v>11</v>
      </c>
      <c r="F229">
        <v>27.8</v>
      </c>
      <c r="G229">
        <v>24.1</v>
      </c>
      <c r="H229" s="7">
        <f t="shared" si="36"/>
        <v>1.1535269709543567</v>
      </c>
      <c r="I229">
        <v>11</v>
      </c>
      <c r="J229">
        <v>28.3</v>
      </c>
      <c r="K229">
        <v>25.6</v>
      </c>
      <c r="L229" s="7">
        <f t="shared" si="37"/>
        <v>1.10546875</v>
      </c>
      <c r="N229">
        <v>11</v>
      </c>
      <c r="O229">
        <v>32</v>
      </c>
      <c r="P229">
        <v>28.7</v>
      </c>
      <c r="Q229" s="7">
        <f t="shared" si="38"/>
        <v>1.1149825783972125</v>
      </c>
      <c r="R229">
        <v>11</v>
      </c>
      <c r="S229">
        <v>31.5</v>
      </c>
      <c r="T229">
        <v>31.2</v>
      </c>
      <c r="U229" s="7">
        <f t="shared" si="39"/>
        <v>1.0096153846153846</v>
      </c>
      <c r="V229">
        <v>11</v>
      </c>
      <c r="W229">
        <v>29.3</v>
      </c>
      <c r="X229">
        <v>28.2</v>
      </c>
      <c r="Y229" s="7">
        <f t="shared" si="40"/>
        <v>1.0390070921985817</v>
      </c>
    </row>
    <row r="230" spans="1:25" x14ac:dyDescent="0.3">
      <c r="A230">
        <v>12</v>
      </c>
      <c r="B230">
        <v>27.5</v>
      </c>
      <c r="C230">
        <v>23.2</v>
      </c>
      <c r="D230" s="7">
        <f t="shared" si="35"/>
        <v>1.1853448275862069</v>
      </c>
      <c r="E230">
        <v>12</v>
      </c>
      <c r="F230">
        <v>29.6</v>
      </c>
      <c r="G230">
        <v>24.9</v>
      </c>
      <c r="H230" s="7">
        <f t="shared" si="36"/>
        <v>1.1887550200803214</v>
      </c>
      <c r="I230">
        <v>12</v>
      </c>
      <c r="J230">
        <v>29.7</v>
      </c>
      <c r="K230">
        <v>24.9</v>
      </c>
      <c r="L230" s="7">
        <f t="shared" si="37"/>
        <v>1.1927710843373494</v>
      </c>
      <c r="N230">
        <v>12</v>
      </c>
      <c r="O230">
        <v>32.1</v>
      </c>
      <c r="P230">
        <v>32.700000000000003</v>
      </c>
      <c r="Q230" s="7">
        <f t="shared" si="38"/>
        <v>0.98165137614678899</v>
      </c>
      <c r="R230">
        <v>12</v>
      </c>
      <c r="S230">
        <v>30.2</v>
      </c>
      <c r="T230">
        <v>28</v>
      </c>
      <c r="U230" s="7">
        <f t="shared" si="39"/>
        <v>1.0785714285714285</v>
      </c>
      <c r="V230">
        <v>12</v>
      </c>
      <c r="W230">
        <v>32.9</v>
      </c>
      <c r="X230">
        <v>29.4</v>
      </c>
      <c r="Y230" s="7">
        <f t="shared" si="40"/>
        <v>1.1190476190476191</v>
      </c>
    </row>
    <row r="231" spans="1:25" x14ac:dyDescent="0.3">
      <c r="A231">
        <v>13</v>
      </c>
      <c r="B231">
        <v>27.9</v>
      </c>
      <c r="C231">
        <v>25.7</v>
      </c>
      <c r="D231" s="7">
        <f t="shared" si="35"/>
        <v>1.0856031128404668</v>
      </c>
      <c r="E231">
        <v>13</v>
      </c>
      <c r="F231">
        <v>29.6</v>
      </c>
      <c r="G231">
        <v>25.4</v>
      </c>
      <c r="H231" s="7">
        <f t="shared" si="36"/>
        <v>1.1653543307086616</v>
      </c>
      <c r="I231">
        <v>13</v>
      </c>
      <c r="J231">
        <v>27.5</v>
      </c>
      <c r="K231">
        <v>25.4</v>
      </c>
      <c r="L231" s="7">
        <f t="shared" si="37"/>
        <v>1.0826771653543308</v>
      </c>
      <c r="N231">
        <v>13</v>
      </c>
      <c r="O231">
        <v>33.5</v>
      </c>
      <c r="P231">
        <v>33.700000000000003</v>
      </c>
      <c r="Q231" s="7">
        <f t="shared" si="38"/>
        <v>0.9940652818991097</v>
      </c>
      <c r="R231">
        <v>13</v>
      </c>
      <c r="S231">
        <v>27.1</v>
      </c>
      <c r="T231">
        <v>27.1</v>
      </c>
      <c r="U231" s="7">
        <f t="shared" si="39"/>
        <v>1</v>
      </c>
      <c r="V231">
        <v>13</v>
      </c>
      <c r="W231">
        <v>30.2</v>
      </c>
      <c r="X231">
        <v>28</v>
      </c>
      <c r="Y231" s="7">
        <f t="shared" si="40"/>
        <v>1.0785714285714285</v>
      </c>
    </row>
    <row r="232" spans="1:25" x14ac:dyDescent="0.3">
      <c r="A232">
        <v>14</v>
      </c>
      <c r="B232">
        <v>28.2</v>
      </c>
      <c r="C232">
        <v>25.8</v>
      </c>
      <c r="D232" s="7">
        <f t="shared" si="35"/>
        <v>1.0930232558139534</v>
      </c>
      <c r="E232">
        <v>14</v>
      </c>
      <c r="F232">
        <v>27.3</v>
      </c>
      <c r="G232">
        <v>23.4</v>
      </c>
      <c r="H232" s="7">
        <f t="shared" si="36"/>
        <v>1.1666666666666667</v>
      </c>
      <c r="I232">
        <v>14</v>
      </c>
      <c r="J232">
        <v>35.299999999999997</v>
      </c>
      <c r="K232">
        <v>31</v>
      </c>
      <c r="L232" s="7">
        <f t="shared" si="37"/>
        <v>1.1387096774193548</v>
      </c>
      <c r="N232">
        <v>14</v>
      </c>
      <c r="O232">
        <v>32.1</v>
      </c>
      <c r="P232">
        <v>27.9</v>
      </c>
      <c r="Q232" s="7">
        <f t="shared" si="38"/>
        <v>1.1505376344086022</v>
      </c>
      <c r="R232">
        <v>14</v>
      </c>
      <c r="S232">
        <v>30.3</v>
      </c>
      <c r="T232">
        <v>27.6</v>
      </c>
      <c r="U232" s="7">
        <f t="shared" si="39"/>
        <v>1.0978260869565217</v>
      </c>
      <c r="V232">
        <v>14</v>
      </c>
      <c r="W232">
        <v>32.9</v>
      </c>
      <c r="X232">
        <v>32</v>
      </c>
      <c r="Y232" s="7">
        <f t="shared" si="40"/>
        <v>1.028125</v>
      </c>
    </row>
    <row r="233" spans="1:25" x14ac:dyDescent="0.3">
      <c r="A233">
        <v>15</v>
      </c>
      <c r="B233">
        <v>30.7</v>
      </c>
      <c r="C233">
        <v>27.8</v>
      </c>
      <c r="D233" s="7">
        <f t="shared" si="35"/>
        <v>1.1043165467625899</v>
      </c>
      <c r="E233">
        <v>15</v>
      </c>
      <c r="F233">
        <v>27.7</v>
      </c>
      <c r="G233">
        <v>22</v>
      </c>
      <c r="H233" s="7">
        <f t="shared" si="36"/>
        <v>1.259090909090909</v>
      </c>
      <c r="I233">
        <v>15</v>
      </c>
      <c r="J233">
        <v>29.2</v>
      </c>
      <c r="K233">
        <v>25.5</v>
      </c>
      <c r="L233" s="7">
        <f t="shared" si="37"/>
        <v>1.1450980392156862</v>
      </c>
      <c r="N233">
        <v>15</v>
      </c>
      <c r="O233">
        <v>27.7</v>
      </c>
      <c r="P233">
        <v>30.2</v>
      </c>
      <c r="Q233" s="7">
        <f t="shared" si="38"/>
        <v>0.91721854304635764</v>
      </c>
      <c r="R233">
        <v>15</v>
      </c>
      <c r="S233">
        <v>33.299999999999997</v>
      </c>
      <c r="T233">
        <v>30.8</v>
      </c>
      <c r="U233" s="7">
        <f t="shared" si="39"/>
        <v>1.081168831168831</v>
      </c>
      <c r="V233">
        <v>15</v>
      </c>
      <c r="W233">
        <v>28.3</v>
      </c>
      <c r="X233">
        <v>27.8</v>
      </c>
      <c r="Y233" s="7">
        <f t="shared" si="40"/>
        <v>1.0179856115107915</v>
      </c>
    </row>
    <row r="234" spans="1:25" x14ac:dyDescent="0.3">
      <c r="A234">
        <v>16</v>
      </c>
      <c r="B234">
        <v>27.9</v>
      </c>
      <c r="C234">
        <v>23.6</v>
      </c>
      <c r="D234" s="7">
        <f t="shared" si="35"/>
        <v>1.1822033898305084</v>
      </c>
      <c r="E234">
        <v>16</v>
      </c>
      <c r="F234">
        <v>31.5</v>
      </c>
      <c r="G234">
        <v>26.4</v>
      </c>
      <c r="H234" s="7">
        <f t="shared" si="36"/>
        <v>1.1931818181818183</v>
      </c>
      <c r="I234">
        <v>16</v>
      </c>
      <c r="J234">
        <v>32.6</v>
      </c>
      <c r="K234">
        <v>24</v>
      </c>
      <c r="L234" s="7">
        <f t="shared" si="37"/>
        <v>1.3583333333333334</v>
      </c>
      <c r="N234">
        <v>16</v>
      </c>
      <c r="O234">
        <v>32.1</v>
      </c>
      <c r="P234">
        <v>30.3</v>
      </c>
      <c r="Q234" s="7">
        <f t="shared" si="38"/>
        <v>1.0594059405940595</v>
      </c>
      <c r="R234">
        <v>16</v>
      </c>
      <c r="S234">
        <v>32.4</v>
      </c>
      <c r="T234">
        <v>28.6</v>
      </c>
      <c r="U234" s="7">
        <f t="shared" si="39"/>
        <v>1.1328671328671327</v>
      </c>
      <c r="V234">
        <v>16</v>
      </c>
      <c r="W234">
        <v>34.1</v>
      </c>
      <c r="X234">
        <v>32.700000000000003</v>
      </c>
      <c r="Y234" s="7">
        <f t="shared" si="40"/>
        <v>1.0428134556574924</v>
      </c>
    </row>
    <row r="235" spans="1:25" x14ac:dyDescent="0.3">
      <c r="A235">
        <v>17</v>
      </c>
      <c r="B235">
        <v>32.5</v>
      </c>
      <c r="C235">
        <v>29.8</v>
      </c>
      <c r="D235" s="7">
        <f t="shared" si="35"/>
        <v>1.0906040268456376</v>
      </c>
      <c r="E235">
        <v>17</v>
      </c>
      <c r="F235">
        <v>29.7</v>
      </c>
      <c r="G235">
        <v>25.4</v>
      </c>
      <c r="H235" s="7">
        <f t="shared" si="36"/>
        <v>1.1692913385826773</v>
      </c>
      <c r="I235">
        <v>17</v>
      </c>
      <c r="J235">
        <v>33.700000000000003</v>
      </c>
      <c r="K235">
        <v>28</v>
      </c>
      <c r="L235" s="7">
        <f t="shared" si="37"/>
        <v>1.2035714285714287</v>
      </c>
      <c r="N235">
        <v>17</v>
      </c>
      <c r="O235">
        <v>26.2</v>
      </c>
      <c r="P235">
        <v>24.8</v>
      </c>
      <c r="Q235" s="7">
        <f t="shared" si="38"/>
        <v>1.0564516129032258</v>
      </c>
      <c r="R235">
        <v>17</v>
      </c>
      <c r="S235">
        <v>33</v>
      </c>
      <c r="T235">
        <v>29.9</v>
      </c>
      <c r="U235" s="7">
        <f t="shared" si="39"/>
        <v>1.1036789297658864</v>
      </c>
      <c r="V235">
        <v>17</v>
      </c>
      <c r="W235">
        <v>31.7</v>
      </c>
      <c r="X235">
        <v>32.700000000000003</v>
      </c>
      <c r="Y235" s="7">
        <f t="shared" si="40"/>
        <v>0.96941896024464824</v>
      </c>
    </row>
    <row r="236" spans="1:25" x14ac:dyDescent="0.3">
      <c r="A236">
        <v>18</v>
      </c>
      <c r="B236">
        <v>28.9</v>
      </c>
      <c r="C236">
        <v>24.8</v>
      </c>
      <c r="D236" s="7">
        <f t="shared" si="35"/>
        <v>1.1653225806451613</v>
      </c>
      <c r="E236">
        <v>18</v>
      </c>
      <c r="F236">
        <v>24.8</v>
      </c>
      <c r="G236">
        <v>29.9</v>
      </c>
      <c r="H236" s="7">
        <f t="shared" si="36"/>
        <v>0.82943143812709041</v>
      </c>
      <c r="I236">
        <v>18</v>
      </c>
      <c r="J236">
        <v>29.6</v>
      </c>
      <c r="K236">
        <v>25.3</v>
      </c>
      <c r="L236" s="7">
        <f t="shared" si="37"/>
        <v>1.1699604743083005</v>
      </c>
      <c r="N236">
        <v>18</v>
      </c>
      <c r="O236">
        <v>29.9</v>
      </c>
      <c r="P236">
        <v>29.6</v>
      </c>
      <c r="Q236" s="7">
        <f t="shared" si="38"/>
        <v>1.0101351351351351</v>
      </c>
      <c r="R236">
        <v>18</v>
      </c>
      <c r="S236">
        <v>28.6</v>
      </c>
      <c r="T236">
        <v>27.2</v>
      </c>
      <c r="U236" s="7">
        <f t="shared" si="39"/>
        <v>1.0514705882352942</v>
      </c>
      <c r="V236">
        <v>18</v>
      </c>
      <c r="W236">
        <v>33.6</v>
      </c>
      <c r="X236">
        <v>32</v>
      </c>
      <c r="Y236" s="7">
        <f t="shared" si="40"/>
        <v>1.05</v>
      </c>
    </row>
    <row r="237" spans="1:25" x14ac:dyDescent="0.3">
      <c r="A237">
        <v>19</v>
      </c>
      <c r="B237">
        <v>27.6</v>
      </c>
      <c r="C237">
        <v>23.9</v>
      </c>
      <c r="D237" s="7">
        <f t="shared" si="35"/>
        <v>1.1548117154811717</v>
      </c>
      <c r="E237">
        <v>19</v>
      </c>
      <c r="F237">
        <v>27.5</v>
      </c>
      <c r="G237">
        <v>27.3</v>
      </c>
      <c r="H237" s="7">
        <f t="shared" si="36"/>
        <v>1.0073260073260073</v>
      </c>
      <c r="I237">
        <v>19</v>
      </c>
      <c r="J237">
        <v>30.7</v>
      </c>
      <c r="K237">
        <v>28.2</v>
      </c>
      <c r="L237" s="7">
        <f t="shared" si="37"/>
        <v>1.0886524822695036</v>
      </c>
      <c r="N237">
        <v>19</v>
      </c>
      <c r="O237">
        <v>29.2</v>
      </c>
      <c r="P237">
        <v>27.5</v>
      </c>
      <c r="Q237" s="7">
        <f t="shared" si="38"/>
        <v>1.0618181818181818</v>
      </c>
      <c r="R237">
        <v>19</v>
      </c>
      <c r="S237">
        <v>29</v>
      </c>
      <c r="T237">
        <v>28.3</v>
      </c>
      <c r="U237" s="7">
        <f t="shared" si="39"/>
        <v>1.0247349823321554</v>
      </c>
      <c r="V237">
        <v>19</v>
      </c>
      <c r="W237">
        <v>31.8</v>
      </c>
      <c r="X237">
        <v>34.1</v>
      </c>
      <c r="Y237" s="7">
        <f t="shared" si="40"/>
        <v>0.93255131964809379</v>
      </c>
    </row>
    <row r="238" spans="1:25" x14ac:dyDescent="0.3">
      <c r="A238">
        <v>20</v>
      </c>
      <c r="B238">
        <v>27.6</v>
      </c>
      <c r="C238">
        <v>27.3</v>
      </c>
      <c r="D238" s="7">
        <f t="shared" si="35"/>
        <v>1.0109890109890109</v>
      </c>
      <c r="E238">
        <v>20</v>
      </c>
      <c r="F238">
        <v>32.5</v>
      </c>
      <c r="G238">
        <v>31.2</v>
      </c>
      <c r="H238" s="7">
        <f t="shared" si="36"/>
        <v>1.0416666666666667</v>
      </c>
      <c r="I238">
        <v>20</v>
      </c>
      <c r="J238">
        <v>28</v>
      </c>
      <c r="K238">
        <v>25</v>
      </c>
      <c r="L238" s="7">
        <f t="shared" si="37"/>
        <v>1.1200000000000001</v>
      </c>
      <c r="N238">
        <v>20</v>
      </c>
      <c r="O238">
        <v>34</v>
      </c>
      <c r="P238">
        <v>33.4</v>
      </c>
      <c r="Q238" s="7">
        <f t="shared" si="38"/>
        <v>1.0179640718562875</v>
      </c>
      <c r="R238">
        <v>20</v>
      </c>
      <c r="S238">
        <v>27.2</v>
      </c>
      <c r="T238">
        <v>28.3</v>
      </c>
      <c r="U238" s="7">
        <f t="shared" si="39"/>
        <v>0.96113074204946991</v>
      </c>
      <c r="V238">
        <v>20</v>
      </c>
      <c r="W238">
        <v>30.3</v>
      </c>
      <c r="X238">
        <v>27.4</v>
      </c>
      <c r="Y238" s="7">
        <f t="shared" si="40"/>
        <v>1.1058394160583942</v>
      </c>
    </row>
    <row r="239" spans="1:25" x14ac:dyDescent="0.3">
      <c r="A239">
        <v>21</v>
      </c>
      <c r="B239">
        <v>35.299999999999997</v>
      </c>
      <c r="C239">
        <v>27.9</v>
      </c>
      <c r="D239" s="7">
        <f t="shared" si="35"/>
        <v>1.2652329749103943</v>
      </c>
      <c r="E239">
        <v>21</v>
      </c>
      <c r="F239">
        <v>31.6</v>
      </c>
      <c r="G239">
        <v>29.4</v>
      </c>
      <c r="H239" s="7">
        <f t="shared" si="36"/>
        <v>1.0748299319727892</v>
      </c>
      <c r="I239">
        <v>21</v>
      </c>
      <c r="J239">
        <v>31.2</v>
      </c>
      <c r="K239">
        <v>30.3</v>
      </c>
      <c r="L239" s="7">
        <f t="shared" si="37"/>
        <v>1.0297029702970297</v>
      </c>
      <c r="N239">
        <v>21</v>
      </c>
      <c r="O239">
        <v>31.4</v>
      </c>
      <c r="P239">
        <v>30.4</v>
      </c>
      <c r="Q239" s="7">
        <f t="shared" si="38"/>
        <v>1.0328947368421053</v>
      </c>
      <c r="R239">
        <v>21</v>
      </c>
      <c r="S239">
        <v>29.6</v>
      </c>
      <c r="T239">
        <v>24.5</v>
      </c>
      <c r="U239" s="7">
        <f t="shared" si="39"/>
        <v>1.2081632653061225</v>
      </c>
      <c r="V239">
        <v>21</v>
      </c>
      <c r="W239">
        <v>34.700000000000003</v>
      </c>
      <c r="X239">
        <v>34.799999999999997</v>
      </c>
      <c r="Y239" s="7">
        <f t="shared" si="40"/>
        <v>0.99712643678160939</v>
      </c>
    </row>
    <row r="240" spans="1:25" x14ac:dyDescent="0.3">
      <c r="A240">
        <v>22</v>
      </c>
      <c r="B240">
        <v>29.3</v>
      </c>
      <c r="C240">
        <v>25.7</v>
      </c>
      <c r="D240" s="7">
        <f t="shared" si="35"/>
        <v>1.1400778210116733</v>
      </c>
      <c r="E240">
        <v>22</v>
      </c>
      <c r="F240">
        <v>34</v>
      </c>
      <c r="G240">
        <v>27.3</v>
      </c>
      <c r="H240" s="7">
        <f t="shared" si="36"/>
        <v>1.2454212454212454</v>
      </c>
      <c r="I240">
        <v>22</v>
      </c>
      <c r="J240">
        <v>33.299999999999997</v>
      </c>
      <c r="K240">
        <v>30.6</v>
      </c>
      <c r="L240" s="7">
        <f t="shared" si="37"/>
        <v>1.088235294117647</v>
      </c>
      <c r="N240">
        <v>22</v>
      </c>
      <c r="O240">
        <v>27</v>
      </c>
      <c r="P240">
        <v>27</v>
      </c>
      <c r="Q240" s="7">
        <f t="shared" si="38"/>
        <v>1</v>
      </c>
      <c r="R240">
        <v>22</v>
      </c>
      <c r="S240">
        <v>33.1</v>
      </c>
      <c r="T240">
        <v>31.3</v>
      </c>
      <c r="U240" s="7">
        <f t="shared" si="39"/>
        <v>1.0575079872204474</v>
      </c>
      <c r="V240">
        <v>22</v>
      </c>
      <c r="W240">
        <v>31.2</v>
      </c>
      <c r="X240">
        <v>30.4</v>
      </c>
      <c r="Y240" s="7">
        <f t="shared" si="40"/>
        <v>1.0263157894736843</v>
      </c>
    </row>
    <row r="241" spans="1:25" x14ac:dyDescent="0.3">
      <c r="A241">
        <v>23</v>
      </c>
      <c r="B241">
        <v>31</v>
      </c>
      <c r="C241">
        <v>27</v>
      </c>
      <c r="D241" s="7">
        <f t="shared" si="35"/>
        <v>1.1481481481481481</v>
      </c>
      <c r="E241">
        <v>23</v>
      </c>
      <c r="F241">
        <v>28.8</v>
      </c>
      <c r="G241">
        <v>31.2</v>
      </c>
      <c r="H241" s="7">
        <f t="shared" si="36"/>
        <v>0.92307692307692313</v>
      </c>
      <c r="I241">
        <v>23</v>
      </c>
      <c r="J241">
        <v>30.2</v>
      </c>
      <c r="K241">
        <v>27.2</v>
      </c>
      <c r="L241" s="7">
        <f t="shared" si="37"/>
        <v>1.1102941176470589</v>
      </c>
      <c r="N241">
        <v>23</v>
      </c>
      <c r="O241">
        <v>29</v>
      </c>
      <c r="P241">
        <v>29.9</v>
      </c>
      <c r="Q241" s="7">
        <f t="shared" si="38"/>
        <v>0.96989966555183948</v>
      </c>
      <c r="R241">
        <v>23</v>
      </c>
      <c r="S241">
        <v>30</v>
      </c>
      <c r="T241">
        <v>29.8</v>
      </c>
      <c r="U241" s="7">
        <f t="shared" si="39"/>
        <v>1.006711409395973</v>
      </c>
      <c r="V241">
        <v>23</v>
      </c>
      <c r="W241">
        <v>36.299999999999997</v>
      </c>
      <c r="X241">
        <v>35.4</v>
      </c>
      <c r="Y241" s="7">
        <f t="shared" si="40"/>
        <v>1.0254237288135593</v>
      </c>
    </row>
    <row r="242" spans="1:25" x14ac:dyDescent="0.3">
      <c r="A242">
        <v>24</v>
      </c>
      <c r="B242">
        <v>30.3</v>
      </c>
      <c r="C242">
        <v>26.8</v>
      </c>
      <c r="D242" s="7">
        <f t="shared" si="35"/>
        <v>1.1305970149253732</v>
      </c>
      <c r="E242">
        <v>24</v>
      </c>
      <c r="F242">
        <v>28.2</v>
      </c>
      <c r="G242">
        <v>24.5</v>
      </c>
      <c r="H242" s="7">
        <f t="shared" si="36"/>
        <v>1.1510204081632653</v>
      </c>
      <c r="I242">
        <v>24</v>
      </c>
      <c r="J242">
        <v>32.700000000000003</v>
      </c>
      <c r="K242">
        <v>28.5</v>
      </c>
      <c r="L242" s="7">
        <f t="shared" si="37"/>
        <v>1.1473684210526316</v>
      </c>
      <c r="N242">
        <v>24</v>
      </c>
      <c r="O242">
        <v>29.3</v>
      </c>
      <c r="P242">
        <v>27.6</v>
      </c>
      <c r="Q242" s="7">
        <f t="shared" si="38"/>
        <v>1.0615942028985508</v>
      </c>
      <c r="R242">
        <v>24</v>
      </c>
      <c r="S242">
        <v>33.9</v>
      </c>
      <c r="T242">
        <v>31.3</v>
      </c>
      <c r="U242" s="7">
        <f t="shared" si="39"/>
        <v>1.0830670926517572</v>
      </c>
      <c r="V242">
        <v>24</v>
      </c>
      <c r="W242">
        <v>31</v>
      </c>
      <c r="X242">
        <v>28.7</v>
      </c>
      <c r="Y242" s="7">
        <f t="shared" si="40"/>
        <v>1.0801393728222997</v>
      </c>
    </row>
    <row r="243" spans="1:25" x14ac:dyDescent="0.3">
      <c r="A243">
        <v>25</v>
      </c>
      <c r="B243">
        <v>29.9</v>
      </c>
      <c r="C243">
        <v>24.4</v>
      </c>
      <c r="D243" s="7">
        <f t="shared" si="35"/>
        <v>1.2254098360655739</v>
      </c>
      <c r="E243">
        <v>25</v>
      </c>
      <c r="F243">
        <v>30</v>
      </c>
      <c r="G243">
        <v>28.1</v>
      </c>
      <c r="H243" s="7">
        <f t="shared" si="36"/>
        <v>1.0676156583629892</v>
      </c>
      <c r="I243">
        <v>25</v>
      </c>
      <c r="J243">
        <v>32.6</v>
      </c>
      <c r="K243">
        <v>28.6</v>
      </c>
      <c r="L243" s="7">
        <f t="shared" si="37"/>
        <v>1.1398601398601398</v>
      </c>
      <c r="N243">
        <v>25</v>
      </c>
      <c r="O243">
        <v>30</v>
      </c>
      <c r="P243">
        <v>29.4</v>
      </c>
      <c r="Q243" s="7">
        <f t="shared" si="38"/>
        <v>1.0204081632653061</v>
      </c>
      <c r="R243">
        <v>25</v>
      </c>
      <c r="S243">
        <v>33.9</v>
      </c>
      <c r="T243">
        <v>32.700000000000003</v>
      </c>
      <c r="U243" s="7">
        <f t="shared" si="39"/>
        <v>1.0366972477064218</v>
      </c>
      <c r="V243">
        <v>25</v>
      </c>
      <c r="W243">
        <v>34.299999999999997</v>
      </c>
      <c r="X243">
        <v>32.799999999999997</v>
      </c>
      <c r="Y243" s="7">
        <f t="shared" si="40"/>
        <v>1.0457317073170731</v>
      </c>
    </row>
    <row r="244" spans="1:25" x14ac:dyDescent="0.3">
      <c r="A244">
        <v>26</v>
      </c>
      <c r="B244">
        <v>30.9</v>
      </c>
      <c r="C244">
        <v>27.6</v>
      </c>
      <c r="D244" s="7">
        <f t="shared" si="35"/>
        <v>1.1195652173913042</v>
      </c>
      <c r="E244">
        <v>26</v>
      </c>
      <c r="F244">
        <v>33.299999999999997</v>
      </c>
      <c r="G244">
        <v>31.5</v>
      </c>
      <c r="H244" s="7">
        <f t="shared" si="36"/>
        <v>1.0571428571428572</v>
      </c>
      <c r="I244">
        <v>26</v>
      </c>
      <c r="J244">
        <v>26.2</v>
      </c>
      <c r="K244">
        <v>23.5</v>
      </c>
      <c r="L244" s="7">
        <f t="shared" si="37"/>
        <v>1.1148936170212767</v>
      </c>
      <c r="N244">
        <v>26</v>
      </c>
      <c r="O244">
        <v>35.5</v>
      </c>
      <c r="P244">
        <v>34.200000000000003</v>
      </c>
      <c r="Q244" s="7">
        <f t="shared" si="38"/>
        <v>1.0380116959064327</v>
      </c>
      <c r="R244">
        <v>26</v>
      </c>
      <c r="S244">
        <v>25.3</v>
      </c>
      <c r="T244">
        <v>25.6</v>
      </c>
      <c r="U244" s="7">
        <f t="shared" si="39"/>
        <v>0.98828125</v>
      </c>
      <c r="V244">
        <v>26</v>
      </c>
      <c r="W244">
        <v>34.700000000000003</v>
      </c>
      <c r="X244">
        <v>31.1</v>
      </c>
      <c r="Y244" s="7">
        <f t="shared" si="40"/>
        <v>1.1157556270096463</v>
      </c>
    </row>
    <row r="245" spans="1:25" x14ac:dyDescent="0.3">
      <c r="A245">
        <v>27</v>
      </c>
      <c r="B245">
        <v>28.3</v>
      </c>
      <c r="C245">
        <v>25.8</v>
      </c>
      <c r="D245" s="7">
        <f t="shared" si="35"/>
        <v>1.0968992248062015</v>
      </c>
      <c r="E245">
        <v>27</v>
      </c>
      <c r="F245">
        <v>33.700000000000003</v>
      </c>
      <c r="G245">
        <v>30.2</v>
      </c>
      <c r="H245" s="7">
        <f t="shared" si="36"/>
        <v>1.1158940397350994</v>
      </c>
      <c r="I245">
        <v>27</v>
      </c>
      <c r="J245">
        <v>32.299999999999997</v>
      </c>
      <c r="K245">
        <v>28.4</v>
      </c>
      <c r="L245" s="7">
        <f t="shared" si="37"/>
        <v>1.1373239436619718</v>
      </c>
      <c r="N245">
        <v>27</v>
      </c>
      <c r="O245">
        <v>26.9</v>
      </c>
      <c r="P245">
        <v>28.5</v>
      </c>
      <c r="Q245" s="7">
        <f t="shared" si="38"/>
        <v>0.94385964912280695</v>
      </c>
      <c r="R245">
        <v>27</v>
      </c>
      <c r="S245">
        <v>35</v>
      </c>
      <c r="T245">
        <v>31.7</v>
      </c>
      <c r="U245" s="7">
        <f t="shared" si="39"/>
        <v>1.1041009463722398</v>
      </c>
      <c r="V245">
        <v>27</v>
      </c>
      <c r="W245">
        <v>30.7</v>
      </c>
      <c r="X245">
        <v>29.1</v>
      </c>
      <c r="Y245" s="7">
        <f t="shared" si="40"/>
        <v>1.0549828178694158</v>
      </c>
    </row>
    <row r="246" spans="1:25" x14ac:dyDescent="0.3">
      <c r="A246">
        <v>28</v>
      </c>
      <c r="B246">
        <v>32.200000000000003</v>
      </c>
      <c r="C246">
        <v>29.2</v>
      </c>
      <c r="D246" s="7">
        <f t="shared" si="35"/>
        <v>1.1027397260273974</v>
      </c>
      <c r="E246">
        <v>28</v>
      </c>
      <c r="F246">
        <v>33.200000000000003</v>
      </c>
      <c r="G246">
        <v>30.2</v>
      </c>
      <c r="H246" s="7">
        <f t="shared" si="36"/>
        <v>1.0993377483443709</v>
      </c>
      <c r="I246">
        <v>28</v>
      </c>
      <c r="J246">
        <v>30</v>
      </c>
      <c r="K246">
        <v>26.4</v>
      </c>
      <c r="L246" s="7">
        <f t="shared" si="37"/>
        <v>1.1363636363636365</v>
      </c>
      <c r="N246">
        <v>28</v>
      </c>
      <c r="O246">
        <v>32.200000000000003</v>
      </c>
      <c r="P246">
        <v>28.7</v>
      </c>
      <c r="Q246" s="7">
        <f t="shared" si="38"/>
        <v>1.1219512195121952</v>
      </c>
      <c r="R246">
        <v>28</v>
      </c>
      <c r="S246">
        <v>33.299999999999997</v>
      </c>
      <c r="T246">
        <v>31.3</v>
      </c>
      <c r="U246" s="7">
        <f t="shared" si="39"/>
        <v>1.0638977635782747</v>
      </c>
      <c r="V246">
        <v>28</v>
      </c>
      <c r="W246">
        <v>28.5</v>
      </c>
      <c r="X246">
        <v>28.1</v>
      </c>
      <c r="Y246" s="7">
        <f t="shared" si="40"/>
        <v>1.0142348754448398</v>
      </c>
    </row>
    <row r="247" spans="1:25" x14ac:dyDescent="0.3">
      <c r="A247">
        <v>29</v>
      </c>
      <c r="B247">
        <v>30.9</v>
      </c>
      <c r="C247">
        <v>28.6</v>
      </c>
      <c r="D247" s="7">
        <f t="shared" si="35"/>
        <v>1.0804195804195804</v>
      </c>
      <c r="E247">
        <v>29</v>
      </c>
      <c r="F247">
        <v>30.4</v>
      </c>
      <c r="G247">
        <v>26.4</v>
      </c>
      <c r="H247" s="7">
        <f t="shared" si="36"/>
        <v>1.1515151515151516</v>
      </c>
      <c r="I247">
        <v>29</v>
      </c>
      <c r="J247">
        <v>26.3</v>
      </c>
      <c r="K247">
        <v>23.6</v>
      </c>
      <c r="L247" s="7">
        <f t="shared" si="37"/>
        <v>1.1144067796610169</v>
      </c>
      <c r="N247">
        <v>29</v>
      </c>
      <c r="O247">
        <v>27.9</v>
      </c>
      <c r="P247">
        <v>26.6</v>
      </c>
      <c r="Q247" s="7">
        <f t="shared" si="38"/>
        <v>1.0488721804511276</v>
      </c>
      <c r="R247">
        <v>29</v>
      </c>
      <c r="S247">
        <v>34.9</v>
      </c>
      <c r="T247">
        <v>34.299999999999997</v>
      </c>
      <c r="U247" s="7">
        <f t="shared" si="39"/>
        <v>1.0174927113702625</v>
      </c>
      <c r="V247">
        <v>29</v>
      </c>
      <c r="W247">
        <v>30.4</v>
      </c>
      <c r="X247">
        <v>30.9</v>
      </c>
      <c r="Y247" s="7">
        <f t="shared" si="40"/>
        <v>0.98381877022653719</v>
      </c>
    </row>
    <row r="248" spans="1:25" x14ac:dyDescent="0.3">
      <c r="A248">
        <v>30</v>
      </c>
      <c r="B248">
        <v>29</v>
      </c>
      <c r="C248">
        <v>25.2</v>
      </c>
      <c r="D248" s="7">
        <f t="shared" si="35"/>
        <v>1.1507936507936509</v>
      </c>
      <c r="E248">
        <v>30</v>
      </c>
      <c r="F248">
        <v>30.1</v>
      </c>
      <c r="G248">
        <v>26.3</v>
      </c>
      <c r="H248" s="7">
        <f t="shared" si="36"/>
        <v>1.1444866920152093</v>
      </c>
      <c r="I248">
        <v>30</v>
      </c>
      <c r="J248">
        <v>28.2</v>
      </c>
      <c r="K248">
        <v>25.8</v>
      </c>
      <c r="L248" s="7">
        <f t="shared" si="37"/>
        <v>1.0930232558139534</v>
      </c>
      <c r="N248">
        <v>30</v>
      </c>
      <c r="O248">
        <v>29.8</v>
      </c>
      <c r="P248">
        <v>27.4</v>
      </c>
      <c r="Q248" s="7">
        <f t="shared" si="38"/>
        <v>1.0875912408759125</v>
      </c>
      <c r="R248">
        <v>30</v>
      </c>
      <c r="S248">
        <v>29.2</v>
      </c>
      <c r="T248">
        <v>28.7</v>
      </c>
      <c r="U248" s="7">
        <f t="shared" si="39"/>
        <v>1.0174216027874565</v>
      </c>
      <c r="V248">
        <v>30</v>
      </c>
      <c r="W248">
        <v>30.3</v>
      </c>
      <c r="X248">
        <v>31.6</v>
      </c>
      <c r="Y248" s="7">
        <f t="shared" si="40"/>
        <v>0.95886075949367089</v>
      </c>
    </row>
    <row r="250" spans="1:25" x14ac:dyDescent="0.3">
      <c r="A250" s="23" t="s">
        <v>32</v>
      </c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N250" s="23" t="s">
        <v>33</v>
      </c>
      <c r="O250" s="23"/>
      <c r="P250" s="23"/>
      <c r="Q250" s="23"/>
      <c r="R250" s="23"/>
      <c r="S250" s="23"/>
      <c r="T250" s="23"/>
      <c r="U250" s="23"/>
      <c r="V250" s="23"/>
      <c r="W250" s="23"/>
      <c r="X250" s="23"/>
    </row>
    <row r="252" spans="1:25" x14ac:dyDescent="0.3">
      <c r="A252" s="6" t="s">
        <v>3</v>
      </c>
      <c r="E252" s="6" t="s">
        <v>2</v>
      </c>
      <c r="I252" s="6" t="s">
        <v>0</v>
      </c>
      <c r="N252" s="6" t="s">
        <v>3</v>
      </c>
      <c r="R252" s="6" t="s">
        <v>2</v>
      </c>
      <c r="V252" s="6" t="s">
        <v>0</v>
      </c>
    </row>
    <row r="253" spans="1:25" x14ac:dyDescent="0.3">
      <c r="A253" t="s">
        <v>16</v>
      </c>
      <c r="B253" t="s">
        <v>17</v>
      </c>
      <c r="C253" t="s">
        <v>18</v>
      </c>
      <c r="D253" t="s">
        <v>19</v>
      </c>
      <c r="E253" t="s">
        <v>16</v>
      </c>
      <c r="F253" t="s">
        <v>17</v>
      </c>
      <c r="G253" t="s">
        <v>18</v>
      </c>
      <c r="H253" t="s">
        <v>19</v>
      </c>
      <c r="I253" t="s">
        <v>16</v>
      </c>
      <c r="J253" t="s">
        <v>17</v>
      </c>
      <c r="K253" t="s">
        <v>18</v>
      </c>
      <c r="L253" t="s">
        <v>19</v>
      </c>
      <c r="N253" t="s">
        <v>16</v>
      </c>
      <c r="O253" t="s">
        <v>17</v>
      </c>
      <c r="P253" t="s">
        <v>18</v>
      </c>
      <c r="Q253" t="s">
        <v>19</v>
      </c>
      <c r="R253" t="s">
        <v>16</v>
      </c>
      <c r="S253" t="s">
        <v>17</v>
      </c>
      <c r="T253" t="s">
        <v>18</v>
      </c>
      <c r="U253" t="s">
        <v>19</v>
      </c>
      <c r="V253" t="s">
        <v>16</v>
      </c>
      <c r="W253" t="s">
        <v>17</v>
      </c>
      <c r="X253" t="s">
        <v>18</v>
      </c>
      <c r="Y253" t="s">
        <v>19</v>
      </c>
    </row>
    <row r="254" spans="1:25" x14ac:dyDescent="0.3">
      <c r="A254">
        <v>1</v>
      </c>
      <c r="B254">
        <v>27.5</v>
      </c>
      <c r="C254">
        <v>25.8</v>
      </c>
      <c r="D254" s="7">
        <f>B254/C254</f>
        <v>1.0658914728682169</v>
      </c>
      <c r="E254">
        <v>1</v>
      </c>
      <c r="F254">
        <v>32</v>
      </c>
      <c r="G254">
        <v>28.2</v>
      </c>
      <c r="H254" s="7">
        <f>F254/G254</f>
        <v>1.1347517730496455</v>
      </c>
      <c r="I254">
        <v>1</v>
      </c>
      <c r="J254">
        <v>26</v>
      </c>
      <c r="K254">
        <v>25.1</v>
      </c>
      <c r="L254" s="7">
        <f>J254/K254</f>
        <v>1.0358565737051793</v>
      </c>
      <c r="N254">
        <v>1</v>
      </c>
      <c r="O254">
        <v>28.1</v>
      </c>
      <c r="P254">
        <v>26.2</v>
      </c>
      <c r="Q254" s="7">
        <f>O254/P254</f>
        <v>1.0725190839694658</v>
      </c>
      <c r="R254">
        <v>1</v>
      </c>
      <c r="S254">
        <v>30.5</v>
      </c>
      <c r="T254">
        <v>30.3</v>
      </c>
      <c r="U254" s="7">
        <f>S254/T254</f>
        <v>1.0066006600660067</v>
      </c>
      <c r="V254">
        <v>1</v>
      </c>
      <c r="W254">
        <v>29.6</v>
      </c>
      <c r="X254">
        <v>27.2</v>
      </c>
      <c r="Y254" s="7">
        <f>W254/X254</f>
        <v>1.0882352941176472</v>
      </c>
    </row>
    <row r="255" spans="1:25" x14ac:dyDescent="0.3">
      <c r="A255">
        <v>2</v>
      </c>
      <c r="B255">
        <v>29.4</v>
      </c>
      <c r="C255">
        <v>25.2</v>
      </c>
      <c r="D255" s="7">
        <f t="shared" ref="D255:D283" si="41">B255/C255</f>
        <v>1.1666666666666667</v>
      </c>
      <c r="E255">
        <v>2</v>
      </c>
      <c r="F255">
        <v>26.4</v>
      </c>
      <c r="G255">
        <v>29</v>
      </c>
      <c r="H255" s="7">
        <f t="shared" ref="H255:H283" si="42">F255/G255</f>
        <v>0.91034482758620683</v>
      </c>
      <c r="I255">
        <v>2</v>
      </c>
      <c r="J255">
        <v>25.9</v>
      </c>
      <c r="K255">
        <v>22.1</v>
      </c>
      <c r="L255" s="7">
        <f t="shared" ref="L255:L283" si="43">J255/K255</f>
        <v>1.1719457013574659</v>
      </c>
      <c r="N255">
        <v>2</v>
      </c>
      <c r="O255">
        <v>40.799999999999997</v>
      </c>
      <c r="P255">
        <v>36.700000000000003</v>
      </c>
      <c r="Q255" s="7">
        <f t="shared" ref="Q255:Q283" si="44">O255/P255</f>
        <v>1.1117166212534058</v>
      </c>
      <c r="R255">
        <v>2</v>
      </c>
      <c r="S255">
        <v>30.3</v>
      </c>
      <c r="T255">
        <v>30.4</v>
      </c>
      <c r="U255" s="7">
        <f t="shared" ref="U255:U283" si="45">S255/T255</f>
        <v>0.99671052631578949</v>
      </c>
      <c r="V255">
        <v>2</v>
      </c>
      <c r="W255">
        <v>33.5</v>
      </c>
      <c r="X255">
        <v>34.4</v>
      </c>
      <c r="Y255" s="7">
        <f t="shared" ref="Y255:Y283" si="46">W255/X255</f>
        <v>0.97383720930232565</v>
      </c>
    </row>
    <row r="256" spans="1:25" x14ac:dyDescent="0.3">
      <c r="A256">
        <v>3</v>
      </c>
      <c r="B256">
        <v>30.2</v>
      </c>
      <c r="C256">
        <v>28.2</v>
      </c>
      <c r="D256" s="7">
        <f t="shared" si="41"/>
        <v>1.0709219858156029</v>
      </c>
      <c r="E256">
        <v>3</v>
      </c>
      <c r="F256">
        <v>26.9</v>
      </c>
      <c r="G256">
        <v>21.9</v>
      </c>
      <c r="H256" s="7">
        <f t="shared" si="42"/>
        <v>1.2283105022831051</v>
      </c>
      <c r="I256">
        <v>3</v>
      </c>
      <c r="J256">
        <v>27.9</v>
      </c>
      <c r="K256">
        <v>24.5</v>
      </c>
      <c r="L256" s="7">
        <f t="shared" si="43"/>
        <v>1.1387755102040815</v>
      </c>
      <c r="N256">
        <v>3</v>
      </c>
      <c r="O256">
        <v>28.3</v>
      </c>
      <c r="P256">
        <v>26.5</v>
      </c>
      <c r="Q256" s="7">
        <f t="shared" si="44"/>
        <v>1.0679245283018868</v>
      </c>
      <c r="R256">
        <v>3</v>
      </c>
      <c r="S256">
        <v>34.1</v>
      </c>
      <c r="T256">
        <v>33.799999999999997</v>
      </c>
      <c r="U256" s="7">
        <f t="shared" si="45"/>
        <v>1.0088757396449706</v>
      </c>
      <c r="V256">
        <v>3</v>
      </c>
      <c r="W256">
        <v>28.6</v>
      </c>
      <c r="X256">
        <v>26.2</v>
      </c>
      <c r="Y256" s="7">
        <f t="shared" si="46"/>
        <v>1.0916030534351147</v>
      </c>
    </row>
    <row r="257" spans="1:25" x14ac:dyDescent="0.3">
      <c r="A257">
        <v>4</v>
      </c>
      <c r="B257">
        <v>28.5</v>
      </c>
      <c r="C257">
        <v>28.1</v>
      </c>
      <c r="D257" s="7">
        <f t="shared" si="41"/>
        <v>1.0142348754448398</v>
      </c>
      <c r="E257">
        <v>4</v>
      </c>
      <c r="F257">
        <v>26.8</v>
      </c>
      <c r="G257">
        <v>24.2</v>
      </c>
      <c r="H257" s="7">
        <f t="shared" si="42"/>
        <v>1.1074380165289257</v>
      </c>
      <c r="I257">
        <v>4</v>
      </c>
      <c r="J257">
        <v>28.7</v>
      </c>
      <c r="K257">
        <v>24.7</v>
      </c>
      <c r="L257" s="7">
        <f t="shared" si="43"/>
        <v>1.1619433198380567</v>
      </c>
      <c r="N257">
        <v>4</v>
      </c>
      <c r="O257">
        <v>26.9</v>
      </c>
      <c r="P257">
        <v>26.2</v>
      </c>
      <c r="Q257" s="7">
        <f t="shared" si="44"/>
        <v>1.0267175572519083</v>
      </c>
      <c r="R257">
        <v>4</v>
      </c>
      <c r="S257">
        <v>30.3</v>
      </c>
      <c r="T257">
        <v>29</v>
      </c>
      <c r="U257" s="7">
        <f t="shared" si="45"/>
        <v>1.0448275862068965</v>
      </c>
      <c r="V257">
        <v>4</v>
      </c>
      <c r="W257">
        <v>29.6</v>
      </c>
      <c r="X257">
        <v>28</v>
      </c>
      <c r="Y257" s="7">
        <f t="shared" si="46"/>
        <v>1.0571428571428572</v>
      </c>
    </row>
    <row r="258" spans="1:25" x14ac:dyDescent="0.3">
      <c r="A258">
        <v>5</v>
      </c>
      <c r="B258">
        <v>29.2</v>
      </c>
      <c r="C258">
        <v>29</v>
      </c>
      <c r="D258" s="7">
        <f t="shared" si="41"/>
        <v>1.0068965517241379</v>
      </c>
      <c r="E258">
        <v>5</v>
      </c>
      <c r="F258">
        <v>26.6</v>
      </c>
      <c r="G258">
        <v>24.6</v>
      </c>
      <c r="H258" s="7">
        <f t="shared" si="42"/>
        <v>1.0813008130081301</v>
      </c>
      <c r="I258">
        <v>5</v>
      </c>
      <c r="J258">
        <v>27.5</v>
      </c>
      <c r="K258">
        <v>26</v>
      </c>
      <c r="L258" s="7">
        <f t="shared" si="43"/>
        <v>1.0576923076923077</v>
      </c>
      <c r="N258">
        <v>5</v>
      </c>
      <c r="O258">
        <v>33.5</v>
      </c>
      <c r="P258">
        <v>31.2</v>
      </c>
      <c r="Q258" s="7">
        <f t="shared" si="44"/>
        <v>1.0737179487179487</v>
      </c>
      <c r="R258">
        <v>5</v>
      </c>
      <c r="S258">
        <v>28.9</v>
      </c>
      <c r="T258">
        <v>28.2</v>
      </c>
      <c r="U258" s="7">
        <f t="shared" si="45"/>
        <v>1.0248226950354609</v>
      </c>
      <c r="V258">
        <v>5</v>
      </c>
      <c r="W258">
        <v>35.1</v>
      </c>
      <c r="X258">
        <v>35.799999999999997</v>
      </c>
      <c r="Y258" s="7">
        <f t="shared" si="46"/>
        <v>0.98044692737430184</v>
      </c>
    </row>
    <row r="259" spans="1:25" x14ac:dyDescent="0.3">
      <c r="A259">
        <v>6</v>
      </c>
      <c r="B259">
        <v>29.9</v>
      </c>
      <c r="C259">
        <v>27.1</v>
      </c>
      <c r="D259" s="7">
        <f t="shared" si="41"/>
        <v>1.103321033210332</v>
      </c>
      <c r="E259">
        <v>6</v>
      </c>
      <c r="F259">
        <v>26.1</v>
      </c>
      <c r="G259">
        <v>25</v>
      </c>
      <c r="H259" s="7">
        <f t="shared" si="42"/>
        <v>1.044</v>
      </c>
      <c r="I259">
        <v>6</v>
      </c>
      <c r="J259">
        <v>30</v>
      </c>
      <c r="K259">
        <v>27.3</v>
      </c>
      <c r="L259" s="7">
        <f t="shared" si="43"/>
        <v>1.0989010989010988</v>
      </c>
      <c r="N259">
        <v>6</v>
      </c>
      <c r="O259">
        <v>27.6</v>
      </c>
      <c r="P259">
        <v>27.6</v>
      </c>
      <c r="Q259" s="7">
        <f t="shared" si="44"/>
        <v>1</v>
      </c>
      <c r="R259">
        <v>6</v>
      </c>
      <c r="S259">
        <v>29.7</v>
      </c>
      <c r="T259">
        <v>29.2</v>
      </c>
      <c r="U259" s="7">
        <f t="shared" si="45"/>
        <v>1.0171232876712328</v>
      </c>
      <c r="V259">
        <v>6</v>
      </c>
      <c r="W259">
        <v>30.2</v>
      </c>
      <c r="X259">
        <v>28.7</v>
      </c>
      <c r="Y259" s="7">
        <f t="shared" si="46"/>
        <v>1.0522648083623694</v>
      </c>
    </row>
    <row r="260" spans="1:25" x14ac:dyDescent="0.3">
      <c r="A260">
        <v>7</v>
      </c>
      <c r="B260">
        <v>28.6</v>
      </c>
      <c r="C260">
        <v>27.7</v>
      </c>
      <c r="D260" s="7">
        <f t="shared" si="41"/>
        <v>1.0324909747292419</v>
      </c>
      <c r="E260">
        <v>7</v>
      </c>
      <c r="F260">
        <v>28</v>
      </c>
      <c r="G260">
        <v>23.6</v>
      </c>
      <c r="H260" s="7">
        <f t="shared" si="42"/>
        <v>1.1864406779661016</v>
      </c>
      <c r="I260">
        <v>7</v>
      </c>
      <c r="J260">
        <v>28</v>
      </c>
      <c r="K260">
        <v>24.5</v>
      </c>
      <c r="L260" s="7">
        <f t="shared" si="43"/>
        <v>1.1428571428571428</v>
      </c>
      <c r="N260">
        <v>7</v>
      </c>
      <c r="O260">
        <v>32</v>
      </c>
      <c r="P260">
        <v>27.7</v>
      </c>
      <c r="Q260" s="7">
        <f t="shared" si="44"/>
        <v>1.1552346570397112</v>
      </c>
      <c r="R260">
        <v>7</v>
      </c>
      <c r="S260">
        <v>32.6</v>
      </c>
      <c r="T260">
        <v>33.200000000000003</v>
      </c>
      <c r="U260" s="7">
        <f t="shared" si="45"/>
        <v>0.98192771084337349</v>
      </c>
      <c r="V260">
        <v>7</v>
      </c>
      <c r="W260">
        <v>27.6</v>
      </c>
      <c r="X260">
        <v>23.4</v>
      </c>
      <c r="Y260" s="7">
        <f t="shared" si="46"/>
        <v>1.1794871794871795</v>
      </c>
    </row>
    <row r="261" spans="1:25" x14ac:dyDescent="0.3">
      <c r="A261">
        <v>8</v>
      </c>
      <c r="B261">
        <v>28</v>
      </c>
      <c r="C261">
        <v>26.7</v>
      </c>
      <c r="D261" s="7">
        <f t="shared" si="41"/>
        <v>1.0486891385767791</v>
      </c>
      <c r="E261">
        <v>8</v>
      </c>
      <c r="F261">
        <v>27.3</v>
      </c>
      <c r="G261">
        <v>25.2</v>
      </c>
      <c r="H261" s="7">
        <f t="shared" si="42"/>
        <v>1.0833333333333335</v>
      </c>
      <c r="I261">
        <v>8</v>
      </c>
      <c r="J261">
        <v>26.6</v>
      </c>
      <c r="K261">
        <v>23.9</v>
      </c>
      <c r="L261" s="7">
        <f t="shared" si="43"/>
        <v>1.1129707112970713</v>
      </c>
      <c r="N261">
        <v>8</v>
      </c>
      <c r="O261">
        <v>33.200000000000003</v>
      </c>
      <c r="P261">
        <v>32.700000000000003</v>
      </c>
      <c r="Q261" s="7">
        <f t="shared" si="44"/>
        <v>1.0152905198776758</v>
      </c>
      <c r="R261">
        <v>8</v>
      </c>
      <c r="S261">
        <v>34.5</v>
      </c>
      <c r="T261">
        <v>33.1</v>
      </c>
      <c r="U261" s="7">
        <f t="shared" si="45"/>
        <v>1.0422960725075527</v>
      </c>
      <c r="V261">
        <v>8</v>
      </c>
      <c r="W261">
        <v>34</v>
      </c>
      <c r="X261">
        <v>33.9</v>
      </c>
      <c r="Y261" s="7">
        <f t="shared" si="46"/>
        <v>1.0029498525073748</v>
      </c>
    </row>
    <row r="262" spans="1:25" x14ac:dyDescent="0.3">
      <c r="A262">
        <v>9</v>
      </c>
      <c r="B262">
        <v>31.7</v>
      </c>
      <c r="C262">
        <v>28</v>
      </c>
      <c r="D262" s="7">
        <f t="shared" si="41"/>
        <v>1.1321428571428571</v>
      </c>
      <c r="E262">
        <v>9</v>
      </c>
      <c r="F262">
        <v>29.3</v>
      </c>
      <c r="G262">
        <v>26.3</v>
      </c>
      <c r="H262" s="7">
        <f t="shared" si="42"/>
        <v>1.1140684410646389</v>
      </c>
      <c r="I262">
        <v>9</v>
      </c>
      <c r="J262">
        <v>28.6</v>
      </c>
      <c r="K262">
        <v>22.1</v>
      </c>
      <c r="L262" s="7">
        <f t="shared" si="43"/>
        <v>1.2941176470588236</v>
      </c>
      <c r="N262">
        <v>9</v>
      </c>
      <c r="O262">
        <v>30.1</v>
      </c>
      <c r="P262">
        <v>31.8</v>
      </c>
      <c r="Q262" s="7">
        <f t="shared" si="44"/>
        <v>0.94654088050314467</v>
      </c>
      <c r="R262">
        <v>9</v>
      </c>
      <c r="S262">
        <v>30.5</v>
      </c>
      <c r="T262">
        <v>29.6</v>
      </c>
      <c r="U262" s="7">
        <f t="shared" si="45"/>
        <v>1.0304054054054053</v>
      </c>
      <c r="V262">
        <v>9</v>
      </c>
      <c r="W262">
        <v>34.5</v>
      </c>
      <c r="X262">
        <v>33.700000000000003</v>
      </c>
      <c r="Y262" s="7">
        <f t="shared" si="46"/>
        <v>1.0237388724035608</v>
      </c>
    </row>
    <row r="263" spans="1:25" x14ac:dyDescent="0.3">
      <c r="A263">
        <v>10</v>
      </c>
      <c r="B263">
        <v>29.3</v>
      </c>
      <c r="C263">
        <v>24.9</v>
      </c>
      <c r="D263" s="7">
        <f t="shared" si="41"/>
        <v>1.1767068273092371</v>
      </c>
      <c r="E263">
        <v>10</v>
      </c>
      <c r="F263">
        <v>28.1</v>
      </c>
      <c r="G263">
        <v>23.9</v>
      </c>
      <c r="H263" s="7">
        <f t="shared" si="42"/>
        <v>1.1757322175732219</v>
      </c>
      <c r="I263">
        <v>10</v>
      </c>
      <c r="J263">
        <v>26.3</v>
      </c>
      <c r="K263">
        <v>24.4</v>
      </c>
      <c r="L263" s="7">
        <f t="shared" si="43"/>
        <v>1.0778688524590165</v>
      </c>
      <c r="N263">
        <v>10</v>
      </c>
      <c r="O263">
        <v>29.8</v>
      </c>
      <c r="P263">
        <v>26.3</v>
      </c>
      <c r="Q263" s="7">
        <f t="shared" si="44"/>
        <v>1.1330798479087452</v>
      </c>
      <c r="R263">
        <v>10</v>
      </c>
      <c r="S263">
        <v>33.299999999999997</v>
      </c>
      <c r="T263">
        <v>32.200000000000003</v>
      </c>
      <c r="U263" s="7">
        <f t="shared" si="45"/>
        <v>1.0341614906832297</v>
      </c>
      <c r="V263">
        <v>10</v>
      </c>
      <c r="W263">
        <v>28.8</v>
      </c>
      <c r="X263">
        <v>28.9</v>
      </c>
      <c r="Y263" s="7">
        <f t="shared" si="46"/>
        <v>0.99653979238754331</v>
      </c>
    </row>
    <row r="264" spans="1:25" x14ac:dyDescent="0.3">
      <c r="A264">
        <v>11</v>
      </c>
      <c r="B264">
        <v>26.7</v>
      </c>
      <c r="C264">
        <v>25.9</v>
      </c>
      <c r="D264" s="7">
        <f t="shared" si="41"/>
        <v>1.0308880308880308</v>
      </c>
      <c r="E264">
        <v>11</v>
      </c>
      <c r="F264">
        <v>28.4</v>
      </c>
      <c r="G264">
        <v>26.4</v>
      </c>
      <c r="H264" s="7">
        <f t="shared" si="42"/>
        <v>1.0757575757575757</v>
      </c>
      <c r="I264">
        <v>11</v>
      </c>
      <c r="J264">
        <v>26.3</v>
      </c>
      <c r="K264">
        <v>25</v>
      </c>
      <c r="L264" s="7">
        <f t="shared" si="43"/>
        <v>1.052</v>
      </c>
      <c r="N264">
        <v>11</v>
      </c>
      <c r="O264">
        <v>29.8</v>
      </c>
      <c r="P264">
        <v>27.1</v>
      </c>
      <c r="Q264" s="7">
        <f t="shared" si="44"/>
        <v>1.0996309963099631</v>
      </c>
      <c r="R264">
        <v>11</v>
      </c>
      <c r="S264">
        <v>32.299999999999997</v>
      </c>
      <c r="T264">
        <v>33.299999999999997</v>
      </c>
      <c r="U264" s="7">
        <f t="shared" si="45"/>
        <v>0.96996996996996998</v>
      </c>
      <c r="V264">
        <v>11</v>
      </c>
      <c r="W264">
        <v>33.6</v>
      </c>
      <c r="X264">
        <v>34.1</v>
      </c>
      <c r="Y264" s="7">
        <f t="shared" si="46"/>
        <v>0.98533724340175954</v>
      </c>
    </row>
    <row r="265" spans="1:25" x14ac:dyDescent="0.3">
      <c r="A265">
        <v>12</v>
      </c>
      <c r="B265">
        <v>30.5</v>
      </c>
      <c r="C265">
        <v>28.4</v>
      </c>
      <c r="D265" s="7">
        <f t="shared" si="41"/>
        <v>1.073943661971831</v>
      </c>
      <c r="E265">
        <v>12</v>
      </c>
      <c r="F265">
        <v>24.9</v>
      </c>
      <c r="G265">
        <v>24.5</v>
      </c>
      <c r="H265" s="7">
        <f t="shared" si="42"/>
        <v>1.0163265306122449</v>
      </c>
      <c r="I265">
        <v>12</v>
      </c>
      <c r="J265">
        <v>26.6</v>
      </c>
      <c r="K265">
        <v>23.3</v>
      </c>
      <c r="L265" s="7">
        <f t="shared" si="43"/>
        <v>1.1416309012875536</v>
      </c>
      <c r="N265">
        <v>12</v>
      </c>
      <c r="O265">
        <v>27.5</v>
      </c>
      <c r="P265">
        <v>28.4</v>
      </c>
      <c r="Q265" s="7">
        <f t="shared" si="44"/>
        <v>0.96830985915492962</v>
      </c>
      <c r="R265">
        <v>12</v>
      </c>
      <c r="S265">
        <v>27.2</v>
      </c>
      <c r="T265">
        <v>25.7</v>
      </c>
      <c r="U265" s="7">
        <f t="shared" si="45"/>
        <v>1.0583657587548638</v>
      </c>
      <c r="V265">
        <v>12</v>
      </c>
      <c r="W265">
        <v>26.8</v>
      </c>
      <c r="X265">
        <v>24</v>
      </c>
      <c r="Y265" s="7">
        <f t="shared" si="46"/>
        <v>1.1166666666666667</v>
      </c>
    </row>
    <row r="266" spans="1:25" x14ac:dyDescent="0.3">
      <c r="A266">
        <v>13</v>
      </c>
      <c r="B266">
        <v>28.3</v>
      </c>
      <c r="C266">
        <v>27.5</v>
      </c>
      <c r="D266" s="7">
        <f t="shared" si="41"/>
        <v>1.0290909090909091</v>
      </c>
      <c r="E266">
        <v>13</v>
      </c>
      <c r="F266">
        <v>24.5</v>
      </c>
      <c r="G266">
        <v>21.9</v>
      </c>
      <c r="H266" s="7">
        <f t="shared" si="42"/>
        <v>1.1187214611872147</v>
      </c>
      <c r="I266">
        <v>13</v>
      </c>
      <c r="J266">
        <v>31.3</v>
      </c>
      <c r="K266">
        <v>28.1</v>
      </c>
      <c r="L266" s="7">
        <f t="shared" si="43"/>
        <v>1.1138790035587189</v>
      </c>
      <c r="N266">
        <v>13</v>
      </c>
      <c r="O266">
        <v>26.3</v>
      </c>
      <c r="P266">
        <v>22.1</v>
      </c>
      <c r="Q266" s="7">
        <f t="shared" si="44"/>
        <v>1.1900452488687783</v>
      </c>
      <c r="R266">
        <v>13</v>
      </c>
      <c r="S266">
        <v>30.4</v>
      </c>
      <c r="T266">
        <v>29.8</v>
      </c>
      <c r="U266" s="7">
        <f t="shared" si="45"/>
        <v>1.0201342281879193</v>
      </c>
      <c r="V266">
        <v>13</v>
      </c>
      <c r="W266">
        <v>34.799999999999997</v>
      </c>
      <c r="X266">
        <v>36</v>
      </c>
      <c r="Y266" s="7">
        <f t="shared" si="46"/>
        <v>0.96666666666666656</v>
      </c>
    </row>
    <row r="267" spans="1:25" x14ac:dyDescent="0.3">
      <c r="A267">
        <v>14</v>
      </c>
      <c r="B267">
        <v>27.9</v>
      </c>
      <c r="C267">
        <v>24.7</v>
      </c>
      <c r="D267" s="7">
        <f t="shared" si="41"/>
        <v>1.1295546558704452</v>
      </c>
      <c r="E267">
        <v>14</v>
      </c>
      <c r="F267">
        <v>31</v>
      </c>
      <c r="G267">
        <v>28.7</v>
      </c>
      <c r="H267" s="7">
        <f t="shared" si="42"/>
        <v>1.0801393728222997</v>
      </c>
      <c r="I267">
        <v>14</v>
      </c>
      <c r="J267">
        <v>29.3</v>
      </c>
      <c r="K267">
        <v>24.6</v>
      </c>
      <c r="L267" s="7">
        <f t="shared" si="43"/>
        <v>1.1910569105691056</v>
      </c>
      <c r="N267">
        <v>14</v>
      </c>
      <c r="O267">
        <v>27.8</v>
      </c>
      <c r="P267">
        <v>26.5</v>
      </c>
      <c r="Q267" s="7">
        <f t="shared" si="44"/>
        <v>1.0490566037735849</v>
      </c>
      <c r="R267">
        <v>14</v>
      </c>
      <c r="S267">
        <v>30.6</v>
      </c>
      <c r="T267">
        <v>30.3</v>
      </c>
      <c r="U267" s="7">
        <f t="shared" si="45"/>
        <v>1.0099009900990099</v>
      </c>
      <c r="V267">
        <v>14</v>
      </c>
      <c r="W267">
        <v>27.6</v>
      </c>
      <c r="X267">
        <v>32.799999999999997</v>
      </c>
      <c r="Y267" s="7">
        <f t="shared" si="46"/>
        <v>0.84146341463414642</v>
      </c>
    </row>
    <row r="268" spans="1:25" x14ac:dyDescent="0.3">
      <c r="A268">
        <v>15</v>
      </c>
      <c r="B268">
        <v>27.1</v>
      </c>
      <c r="C268">
        <v>25.9</v>
      </c>
      <c r="D268" s="7">
        <f t="shared" si="41"/>
        <v>1.0463320463320465</v>
      </c>
      <c r="E268">
        <v>15</v>
      </c>
      <c r="F268">
        <v>28.7</v>
      </c>
      <c r="G268">
        <v>24</v>
      </c>
      <c r="H268" s="7">
        <f t="shared" si="42"/>
        <v>1.1958333333333333</v>
      </c>
      <c r="I268">
        <v>15</v>
      </c>
      <c r="J268">
        <v>29.5</v>
      </c>
      <c r="K268">
        <v>28.4</v>
      </c>
      <c r="L268" s="7">
        <f t="shared" si="43"/>
        <v>1.0387323943661972</v>
      </c>
      <c r="N268">
        <v>15</v>
      </c>
      <c r="O268">
        <v>26.2</v>
      </c>
      <c r="P268">
        <v>24.8</v>
      </c>
      <c r="Q268" s="7">
        <f t="shared" si="44"/>
        <v>1.0564516129032258</v>
      </c>
      <c r="R268">
        <v>15</v>
      </c>
      <c r="S268">
        <v>30.7</v>
      </c>
      <c r="T268">
        <v>28.1</v>
      </c>
      <c r="U268" s="7">
        <f t="shared" si="45"/>
        <v>1.092526690391459</v>
      </c>
      <c r="V268">
        <v>15</v>
      </c>
      <c r="W268">
        <v>28.1</v>
      </c>
      <c r="X268">
        <v>25.8</v>
      </c>
      <c r="Y268" s="7">
        <f t="shared" si="46"/>
        <v>1.0891472868217054</v>
      </c>
    </row>
    <row r="269" spans="1:25" x14ac:dyDescent="0.3">
      <c r="A269">
        <v>16</v>
      </c>
      <c r="B269">
        <v>28.8</v>
      </c>
      <c r="C269">
        <v>27.1</v>
      </c>
      <c r="D269" s="7">
        <f t="shared" si="41"/>
        <v>1.0627306273062731</v>
      </c>
      <c r="E269">
        <v>16</v>
      </c>
      <c r="F269">
        <v>29.5</v>
      </c>
      <c r="G269">
        <v>26.6</v>
      </c>
      <c r="H269" s="7">
        <f t="shared" si="42"/>
        <v>1.1090225563909775</v>
      </c>
      <c r="I269">
        <v>16</v>
      </c>
      <c r="J269">
        <v>26</v>
      </c>
      <c r="K269">
        <v>26.2</v>
      </c>
      <c r="L269" s="7">
        <f t="shared" si="43"/>
        <v>0.99236641221374045</v>
      </c>
      <c r="N269">
        <v>16</v>
      </c>
      <c r="O269">
        <v>32.200000000000003</v>
      </c>
      <c r="P269">
        <v>31.1</v>
      </c>
      <c r="Q269" s="7">
        <f t="shared" si="44"/>
        <v>1.0353697749196142</v>
      </c>
      <c r="R269">
        <v>16</v>
      </c>
      <c r="S269">
        <v>30.6</v>
      </c>
      <c r="T269">
        <v>31.6</v>
      </c>
      <c r="U269" s="7">
        <f t="shared" si="45"/>
        <v>0.96835443037974689</v>
      </c>
      <c r="V269">
        <v>16</v>
      </c>
      <c r="W269">
        <v>30.1</v>
      </c>
      <c r="X269">
        <v>28.3</v>
      </c>
      <c r="Y269" s="7">
        <f t="shared" si="46"/>
        <v>1.0636042402826855</v>
      </c>
    </row>
    <row r="270" spans="1:25" x14ac:dyDescent="0.3">
      <c r="A270">
        <v>17</v>
      </c>
      <c r="B270">
        <v>26.5</v>
      </c>
      <c r="C270">
        <v>26.7</v>
      </c>
      <c r="D270" s="7">
        <f t="shared" si="41"/>
        <v>0.99250936329588013</v>
      </c>
      <c r="E270">
        <v>17</v>
      </c>
      <c r="F270">
        <v>26.9</v>
      </c>
      <c r="G270">
        <v>22.1</v>
      </c>
      <c r="H270" s="7">
        <f t="shared" si="42"/>
        <v>1.2171945701357465</v>
      </c>
      <c r="I270">
        <v>17</v>
      </c>
      <c r="J270">
        <v>25.2</v>
      </c>
      <c r="K270">
        <v>23.2</v>
      </c>
      <c r="L270" s="7">
        <f t="shared" si="43"/>
        <v>1.0862068965517242</v>
      </c>
      <c r="N270">
        <v>17</v>
      </c>
      <c r="O270">
        <v>30</v>
      </c>
      <c r="P270">
        <v>31.1</v>
      </c>
      <c r="Q270" s="7">
        <f t="shared" si="44"/>
        <v>0.96463022508038576</v>
      </c>
      <c r="R270">
        <v>17</v>
      </c>
      <c r="S270">
        <v>35.5</v>
      </c>
      <c r="T270">
        <v>34.6</v>
      </c>
      <c r="U270" s="7">
        <f t="shared" si="45"/>
        <v>1.0260115606936415</v>
      </c>
      <c r="V270">
        <v>17</v>
      </c>
      <c r="W270">
        <v>29.2</v>
      </c>
      <c r="X270">
        <v>28.2</v>
      </c>
      <c r="Y270" s="7">
        <f t="shared" si="46"/>
        <v>1.0354609929078014</v>
      </c>
    </row>
    <row r="271" spans="1:25" x14ac:dyDescent="0.3">
      <c r="A271">
        <v>18</v>
      </c>
      <c r="B271">
        <v>24.9</v>
      </c>
      <c r="C271">
        <v>21.6</v>
      </c>
      <c r="D271" s="7">
        <f t="shared" si="41"/>
        <v>1.1527777777777777</v>
      </c>
      <c r="E271">
        <v>18</v>
      </c>
      <c r="F271">
        <v>26.6</v>
      </c>
      <c r="G271">
        <v>23.6</v>
      </c>
      <c r="H271" s="7">
        <f t="shared" si="42"/>
        <v>1.1271186440677965</v>
      </c>
      <c r="I271">
        <v>18</v>
      </c>
      <c r="J271">
        <v>28.2</v>
      </c>
      <c r="K271">
        <v>25.5</v>
      </c>
      <c r="L271" s="7">
        <f t="shared" si="43"/>
        <v>1.1058823529411765</v>
      </c>
      <c r="N271">
        <v>18</v>
      </c>
      <c r="O271">
        <v>32.6</v>
      </c>
      <c r="P271">
        <v>34.299999999999997</v>
      </c>
      <c r="Q271" s="7">
        <f t="shared" si="44"/>
        <v>0.95043731778425666</v>
      </c>
      <c r="R271">
        <v>18</v>
      </c>
      <c r="S271">
        <v>28.8</v>
      </c>
      <c r="T271">
        <v>28</v>
      </c>
      <c r="U271" s="7">
        <f t="shared" si="45"/>
        <v>1.0285714285714287</v>
      </c>
      <c r="V271">
        <v>18</v>
      </c>
      <c r="W271">
        <v>33</v>
      </c>
      <c r="X271">
        <v>29.9</v>
      </c>
      <c r="Y271" s="7">
        <f t="shared" si="46"/>
        <v>1.1036789297658864</v>
      </c>
    </row>
    <row r="272" spans="1:25" x14ac:dyDescent="0.3">
      <c r="A272">
        <v>19</v>
      </c>
      <c r="B272">
        <v>26.8</v>
      </c>
      <c r="C272">
        <v>24.4</v>
      </c>
      <c r="D272" s="7">
        <f t="shared" si="41"/>
        <v>1.098360655737705</v>
      </c>
      <c r="E272">
        <v>19</v>
      </c>
      <c r="F272">
        <v>29</v>
      </c>
      <c r="G272">
        <v>29.6</v>
      </c>
      <c r="H272" s="7">
        <f t="shared" si="42"/>
        <v>0.97972972972972971</v>
      </c>
      <c r="I272">
        <v>19</v>
      </c>
      <c r="J272">
        <v>29</v>
      </c>
      <c r="K272">
        <v>24.3</v>
      </c>
      <c r="L272" s="7">
        <f t="shared" si="43"/>
        <v>1.1934156378600822</v>
      </c>
      <c r="N272">
        <v>19</v>
      </c>
      <c r="O272">
        <v>27.2</v>
      </c>
      <c r="P272">
        <v>26.8</v>
      </c>
      <c r="Q272" s="7">
        <f t="shared" si="44"/>
        <v>1.0149253731343284</v>
      </c>
      <c r="R272">
        <v>19</v>
      </c>
      <c r="S272">
        <v>28.2</v>
      </c>
      <c r="T272">
        <v>27.2</v>
      </c>
      <c r="U272" s="7">
        <f t="shared" si="45"/>
        <v>1.036764705882353</v>
      </c>
      <c r="V272">
        <v>19</v>
      </c>
      <c r="W272">
        <v>28.1</v>
      </c>
      <c r="X272">
        <v>26.9</v>
      </c>
      <c r="Y272" s="7">
        <f t="shared" si="46"/>
        <v>1.0446096654275094</v>
      </c>
    </row>
    <row r="273" spans="1:25" x14ac:dyDescent="0.3">
      <c r="A273">
        <v>20</v>
      </c>
      <c r="B273">
        <v>26.8</v>
      </c>
      <c r="C273">
        <v>25</v>
      </c>
      <c r="D273" s="7">
        <f t="shared" si="41"/>
        <v>1.0720000000000001</v>
      </c>
      <c r="E273">
        <v>20</v>
      </c>
      <c r="F273">
        <v>30.1</v>
      </c>
      <c r="G273">
        <v>27.2</v>
      </c>
      <c r="H273" s="7">
        <f t="shared" si="42"/>
        <v>1.1066176470588236</v>
      </c>
      <c r="I273">
        <v>20</v>
      </c>
      <c r="J273">
        <v>29.2</v>
      </c>
      <c r="K273">
        <v>24.3</v>
      </c>
      <c r="L273" s="7">
        <f t="shared" si="43"/>
        <v>1.2016460905349793</v>
      </c>
      <c r="N273">
        <v>20</v>
      </c>
      <c r="O273">
        <v>27.9</v>
      </c>
      <c r="P273">
        <v>28.9</v>
      </c>
      <c r="Q273" s="7">
        <f t="shared" si="44"/>
        <v>0.96539792387543255</v>
      </c>
      <c r="R273">
        <v>20</v>
      </c>
      <c r="S273">
        <v>27.2</v>
      </c>
      <c r="T273">
        <v>24</v>
      </c>
      <c r="U273" s="7">
        <f t="shared" si="45"/>
        <v>1.1333333333333333</v>
      </c>
      <c r="V273">
        <v>20</v>
      </c>
      <c r="W273">
        <v>27.6</v>
      </c>
      <c r="X273">
        <v>26.4</v>
      </c>
      <c r="Y273" s="7">
        <f t="shared" si="46"/>
        <v>1.0454545454545456</v>
      </c>
    </row>
    <row r="274" spans="1:25" x14ac:dyDescent="0.3">
      <c r="A274">
        <v>21</v>
      </c>
      <c r="B274">
        <v>27.3</v>
      </c>
      <c r="C274">
        <v>25.1</v>
      </c>
      <c r="D274" s="7">
        <f t="shared" si="41"/>
        <v>1.0876494023904382</v>
      </c>
      <c r="E274">
        <v>21</v>
      </c>
      <c r="F274">
        <v>28.2</v>
      </c>
      <c r="G274">
        <v>24.1</v>
      </c>
      <c r="H274" s="7">
        <f t="shared" si="42"/>
        <v>1.1701244813278007</v>
      </c>
      <c r="I274">
        <v>21</v>
      </c>
      <c r="J274">
        <v>27.9</v>
      </c>
      <c r="K274">
        <v>25</v>
      </c>
      <c r="L274" s="7">
        <f t="shared" si="43"/>
        <v>1.1159999999999999</v>
      </c>
      <c r="N274">
        <v>21</v>
      </c>
      <c r="O274">
        <v>36.4</v>
      </c>
      <c r="P274">
        <v>33.700000000000003</v>
      </c>
      <c r="Q274" s="7">
        <f t="shared" si="44"/>
        <v>1.0801186943620176</v>
      </c>
      <c r="R274">
        <v>21</v>
      </c>
      <c r="S274">
        <v>25.9</v>
      </c>
      <c r="T274">
        <v>28.1</v>
      </c>
      <c r="U274" s="7">
        <f t="shared" si="45"/>
        <v>0.9217081850533807</v>
      </c>
      <c r="V274">
        <v>21</v>
      </c>
      <c r="W274">
        <v>31.5</v>
      </c>
      <c r="X274">
        <v>29.6</v>
      </c>
      <c r="Y274" s="7">
        <f t="shared" si="46"/>
        <v>1.064189189189189</v>
      </c>
    </row>
    <row r="275" spans="1:25" x14ac:dyDescent="0.3">
      <c r="A275">
        <v>22</v>
      </c>
      <c r="B275">
        <v>29.9</v>
      </c>
      <c r="C275">
        <v>26.5</v>
      </c>
      <c r="D275" s="7">
        <f t="shared" si="41"/>
        <v>1.1283018867924528</v>
      </c>
      <c r="E275">
        <v>22</v>
      </c>
      <c r="F275">
        <v>28.1</v>
      </c>
      <c r="G275">
        <v>24.9</v>
      </c>
      <c r="H275" s="7">
        <f t="shared" si="42"/>
        <v>1.1285140562248996</v>
      </c>
      <c r="I275">
        <v>22</v>
      </c>
      <c r="J275">
        <v>28.6</v>
      </c>
      <c r="K275">
        <v>25.6</v>
      </c>
      <c r="L275" s="7">
        <f t="shared" si="43"/>
        <v>1.1171875</v>
      </c>
      <c r="N275">
        <v>22</v>
      </c>
      <c r="O275">
        <v>32</v>
      </c>
      <c r="P275">
        <v>30.1</v>
      </c>
      <c r="Q275" s="7">
        <f t="shared" si="44"/>
        <v>1.0631229235880397</v>
      </c>
      <c r="R275">
        <v>22</v>
      </c>
      <c r="S275">
        <v>31.4</v>
      </c>
      <c r="T275">
        <v>30.3</v>
      </c>
      <c r="U275" s="7">
        <f t="shared" si="45"/>
        <v>1.0363036303630362</v>
      </c>
      <c r="V275">
        <v>22</v>
      </c>
      <c r="W275">
        <v>35.4</v>
      </c>
      <c r="X275">
        <v>33.5</v>
      </c>
      <c r="Y275" s="7">
        <f t="shared" si="46"/>
        <v>1.0567164179104478</v>
      </c>
    </row>
    <row r="276" spans="1:25" x14ac:dyDescent="0.3">
      <c r="A276">
        <v>23</v>
      </c>
      <c r="B276">
        <v>27.2</v>
      </c>
      <c r="C276">
        <v>25.7</v>
      </c>
      <c r="D276" s="7">
        <f t="shared" si="41"/>
        <v>1.0583657587548638</v>
      </c>
      <c r="E276">
        <v>23</v>
      </c>
      <c r="F276">
        <v>31.1</v>
      </c>
      <c r="G276">
        <v>28.7</v>
      </c>
      <c r="H276" s="7">
        <f t="shared" si="42"/>
        <v>1.0836236933797909</v>
      </c>
      <c r="I276">
        <v>23</v>
      </c>
      <c r="J276">
        <v>28.3</v>
      </c>
      <c r="K276">
        <v>26.9</v>
      </c>
      <c r="L276" s="7">
        <f t="shared" si="43"/>
        <v>1.0520446096654277</v>
      </c>
      <c r="N276">
        <v>23</v>
      </c>
      <c r="O276">
        <v>27.3</v>
      </c>
      <c r="P276">
        <v>25.9</v>
      </c>
      <c r="Q276" s="7">
        <f t="shared" si="44"/>
        <v>1.0540540540540542</v>
      </c>
      <c r="R276">
        <v>23</v>
      </c>
      <c r="S276">
        <v>31.2</v>
      </c>
      <c r="T276">
        <v>32.700000000000003</v>
      </c>
      <c r="U276" s="7">
        <f t="shared" si="45"/>
        <v>0.95412844036697242</v>
      </c>
      <c r="V276">
        <v>23</v>
      </c>
      <c r="W276">
        <v>37</v>
      </c>
      <c r="X276">
        <v>38.299999999999997</v>
      </c>
      <c r="Y276" s="7">
        <f t="shared" si="46"/>
        <v>0.96605744125326376</v>
      </c>
    </row>
    <row r="277" spans="1:25" x14ac:dyDescent="0.3">
      <c r="A277">
        <v>24</v>
      </c>
      <c r="B277">
        <v>27.8</v>
      </c>
      <c r="C277">
        <v>27.7</v>
      </c>
      <c r="D277" s="7">
        <f t="shared" si="41"/>
        <v>1.0036101083032491</v>
      </c>
      <c r="E277">
        <v>24</v>
      </c>
      <c r="F277">
        <v>26.2</v>
      </c>
      <c r="G277">
        <v>24.3</v>
      </c>
      <c r="H277" s="7">
        <f t="shared" si="42"/>
        <v>1.0781893004115226</v>
      </c>
      <c r="I277">
        <v>24</v>
      </c>
      <c r="J277">
        <v>30.2</v>
      </c>
      <c r="K277">
        <v>25.8</v>
      </c>
      <c r="L277" s="7">
        <f t="shared" si="43"/>
        <v>1.1705426356589146</v>
      </c>
      <c r="N277">
        <v>24</v>
      </c>
      <c r="O277">
        <v>28.9</v>
      </c>
      <c r="P277">
        <v>30.1</v>
      </c>
      <c r="Q277" s="7">
        <f t="shared" si="44"/>
        <v>0.96013289036544847</v>
      </c>
      <c r="R277">
        <v>24</v>
      </c>
      <c r="S277">
        <v>29.7</v>
      </c>
      <c r="T277">
        <v>27.1</v>
      </c>
      <c r="U277" s="7">
        <f t="shared" si="45"/>
        <v>1.0959409594095939</v>
      </c>
      <c r="V277">
        <v>24</v>
      </c>
      <c r="W277">
        <v>30.7</v>
      </c>
      <c r="X277">
        <v>29.8</v>
      </c>
      <c r="Y277" s="7">
        <f t="shared" si="46"/>
        <v>1.0302013422818792</v>
      </c>
    </row>
    <row r="278" spans="1:25" x14ac:dyDescent="0.3">
      <c r="A278">
        <v>25</v>
      </c>
      <c r="B278">
        <v>36.200000000000003</v>
      </c>
      <c r="C278">
        <v>32.700000000000003</v>
      </c>
      <c r="D278" s="7">
        <f t="shared" si="41"/>
        <v>1.107033639143731</v>
      </c>
      <c r="E278">
        <v>25</v>
      </c>
      <c r="F278">
        <v>26.8</v>
      </c>
      <c r="G278">
        <v>24.1</v>
      </c>
      <c r="H278" s="7">
        <f t="shared" si="42"/>
        <v>1.1120331950207469</v>
      </c>
      <c r="I278">
        <v>25</v>
      </c>
      <c r="J278">
        <v>26.9</v>
      </c>
      <c r="K278">
        <v>26.5</v>
      </c>
      <c r="L278" s="7">
        <f t="shared" si="43"/>
        <v>1.0150943396226415</v>
      </c>
      <c r="N278">
        <v>25</v>
      </c>
      <c r="O278">
        <v>30.8</v>
      </c>
      <c r="P278">
        <v>27.2</v>
      </c>
      <c r="Q278" s="7">
        <f t="shared" si="44"/>
        <v>1.1323529411764706</v>
      </c>
      <c r="R278">
        <v>25</v>
      </c>
      <c r="S278">
        <v>37.200000000000003</v>
      </c>
      <c r="T278">
        <v>33.5</v>
      </c>
      <c r="U278" s="7">
        <f t="shared" si="45"/>
        <v>1.11044776119403</v>
      </c>
      <c r="V278">
        <v>25</v>
      </c>
      <c r="W278">
        <v>26.6</v>
      </c>
      <c r="X278">
        <v>28.9</v>
      </c>
      <c r="Y278" s="7">
        <f t="shared" si="46"/>
        <v>0.92041522491349492</v>
      </c>
    </row>
    <row r="279" spans="1:25" x14ac:dyDescent="0.3">
      <c r="A279">
        <v>26</v>
      </c>
      <c r="B279">
        <v>29.5</v>
      </c>
      <c r="C279">
        <v>31.3</v>
      </c>
      <c r="D279" s="7">
        <f t="shared" si="41"/>
        <v>0.94249201277955275</v>
      </c>
      <c r="E279">
        <v>26</v>
      </c>
      <c r="F279">
        <v>29.3</v>
      </c>
      <c r="G279">
        <v>29.5</v>
      </c>
      <c r="H279" s="7">
        <f t="shared" si="42"/>
        <v>0.99322033898305084</v>
      </c>
      <c r="I279">
        <v>26</v>
      </c>
      <c r="J279">
        <v>31.5</v>
      </c>
      <c r="K279">
        <v>28.4</v>
      </c>
      <c r="L279" s="7">
        <f t="shared" si="43"/>
        <v>1.1091549295774648</v>
      </c>
      <c r="N279">
        <v>26</v>
      </c>
      <c r="O279">
        <v>25.7</v>
      </c>
      <c r="P279">
        <v>24.5</v>
      </c>
      <c r="Q279" s="7">
        <f t="shared" si="44"/>
        <v>1.0489795918367346</v>
      </c>
      <c r="R279">
        <v>26</v>
      </c>
      <c r="S279">
        <v>28.7</v>
      </c>
      <c r="T279">
        <v>28.7</v>
      </c>
      <c r="U279" s="7">
        <f t="shared" si="45"/>
        <v>1</v>
      </c>
      <c r="V279">
        <v>26</v>
      </c>
      <c r="W279">
        <v>33.700000000000003</v>
      </c>
      <c r="X279">
        <v>31.7</v>
      </c>
      <c r="Y279" s="7">
        <f t="shared" si="46"/>
        <v>1.0630914826498423</v>
      </c>
    </row>
    <row r="280" spans="1:25" x14ac:dyDescent="0.3">
      <c r="A280">
        <v>27</v>
      </c>
      <c r="B280">
        <v>27.3</v>
      </c>
      <c r="C280">
        <v>26.3</v>
      </c>
      <c r="D280" s="7">
        <f t="shared" si="41"/>
        <v>1.038022813688213</v>
      </c>
      <c r="E280">
        <v>27</v>
      </c>
      <c r="F280">
        <v>25.1</v>
      </c>
      <c r="G280">
        <v>25.2</v>
      </c>
      <c r="H280" s="7">
        <f t="shared" si="42"/>
        <v>0.99603174603174616</v>
      </c>
      <c r="I280">
        <v>27</v>
      </c>
      <c r="J280">
        <v>31.1</v>
      </c>
      <c r="K280">
        <v>27.1</v>
      </c>
      <c r="L280" s="7">
        <f t="shared" si="43"/>
        <v>1.1476014760147601</v>
      </c>
      <c r="N280">
        <v>27</v>
      </c>
      <c r="O280">
        <v>30.8</v>
      </c>
      <c r="P280">
        <v>30.7</v>
      </c>
      <c r="Q280" s="7">
        <f t="shared" si="44"/>
        <v>1.003257328990228</v>
      </c>
      <c r="R280">
        <v>27</v>
      </c>
      <c r="S280">
        <v>27.7</v>
      </c>
      <c r="T280">
        <v>28.8</v>
      </c>
      <c r="U280" s="7">
        <f t="shared" si="45"/>
        <v>0.96180555555555547</v>
      </c>
      <c r="V280">
        <v>27</v>
      </c>
      <c r="W280">
        <v>33.5</v>
      </c>
      <c r="X280">
        <v>31.9</v>
      </c>
      <c r="Y280" s="7">
        <f t="shared" si="46"/>
        <v>1.0501567398119123</v>
      </c>
    </row>
    <row r="281" spans="1:25" x14ac:dyDescent="0.3">
      <c r="A281">
        <v>28</v>
      </c>
      <c r="B281">
        <v>31</v>
      </c>
      <c r="C281">
        <v>28.4</v>
      </c>
      <c r="D281" s="7">
        <f t="shared" si="41"/>
        <v>1.091549295774648</v>
      </c>
      <c r="E281">
        <v>28</v>
      </c>
      <c r="F281">
        <v>26</v>
      </c>
      <c r="G281">
        <v>23.6</v>
      </c>
      <c r="H281" s="7">
        <f t="shared" si="42"/>
        <v>1.1016949152542372</v>
      </c>
      <c r="I281">
        <v>28</v>
      </c>
      <c r="J281">
        <v>31.9</v>
      </c>
      <c r="K281">
        <v>27.5</v>
      </c>
      <c r="L281" s="7">
        <f t="shared" si="43"/>
        <v>1.1599999999999999</v>
      </c>
      <c r="N281">
        <v>28</v>
      </c>
      <c r="O281">
        <v>36.200000000000003</v>
      </c>
      <c r="P281">
        <v>37.200000000000003</v>
      </c>
      <c r="Q281" s="7">
        <f t="shared" si="44"/>
        <v>0.9731182795698925</v>
      </c>
      <c r="R281">
        <v>28</v>
      </c>
      <c r="S281">
        <v>31.6</v>
      </c>
      <c r="T281">
        <v>30.3</v>
      </c>
      <c r="U281" s="7">
        <f t="shared" si="45"/>
        <v>1.0429042904290429</v>
      </c>
      <c r="V281">
        <v>28</v>
      </c>
      <c r="W281">
        <v>27.3</v>
      </c>
      <c r="X281">
        <v>23.1</v>
      </c>
      <c r="Y281" s="7">
        <f t="shared" si="46"/>
        <v>1.1818181818181819</v>
      </c>
    </row>
    <row r="282" spans="1:25" x14ac:dyDescent="0.3">
      <c r="A282">
        <v>29</v>
      </c>
      <c r="B282">
        <v>27.7</v>
      </c>
      <c r="C282">
        <v>26.5</v>
      </c>
      <c r="D282" s="7">
        <f t="shared" si="41"/>
        <v>1.0452830188679245</v>
      </c>
      <c r="E282">
        <v>29</v>
      </c>
      <c r="F282">
        <v>24.9</v>
      </c>
      <c r="G282">
        <v>23.1</v>
      </c>
      <c r="H282" s="7">
        <f t="shared" si="42"/>
        <v>1.0779220779220777</v>
      </c>
      <c r="I282">
        <v>29</v>
      </c>
      <c r="J282">
        <v>28.3</v>
      </c>
      <c r="K282">
        <v>24.1</v>
      </c>
      <c r="L282" s="7">
        <f t="shared" si="43"/>
        <v>1.1742738589211619</v>
      </c>
      <c r="N282">
        <v>29</v>
      </c>
      <c r="O282">
        <v>30.3</v>
      </c>
      <c r="P282">
        <v>28.9</v>
      </c>
      <c r="Q282" s="7">
        <f t="shared" si="44"/>
        <v>1.0484429065743945</v>
      </c>
      <c r="R282">
        <v>29</v>
      </c>
      <c r="S282">
        <v>27.5</v>
      </c>
      <c r="T282">
        <v>28.2</v>
      </c>
      <c r="U282" s="7">
        <f t="shared" si="45"/>
        <v>0.97517730496453903</v>
      </c>
      <c r="V282">
        <v>29</v>
      </c>
      <c r="W282">
        <v>26.3</v>
      </c>
      <c r="X282">
        <v>23.6</v>
      </c>
      <c r="Y282" s="7">
        <f t="shared" si="46"/>
        <v>1.1144067796610169</v>
      </c>
    </row>
    <row r="283" spans="1:25" x14ac:dyDescent="0.3">
      <c r="A283">
        <v>30</v>
      </c>
      <c r="B283">
        <v>26.5</v>
      </c>
      <c r="C283">
        <v>26.1</v>
      </c>
      <c r="D283" s="7">
        <f t="shared" si="41"/>
        <v>1.0153256704980842</v>
      </c>
      <c r="E283">
        <v>30</v>
      </c>
      <c r="F283">
        <v>28.9</v>
      </c>
      <c r="G283">
        <v>23.9</v>
      </c>
      <c r="H283" s="7">
        <f t="shared" si="42"/>
        <v>1.2092050209205021</v>
      </c>
      <c r="I283">
        <v>30</v>
      </c>
      <c r="J283">
        <v>30.5</v>
      </c>
      <c r="K283">
        <v>30</v>
      </c>
      <c r="L283" s="7">
        <f t="shared" si="43"/>
        <v>1.0166666666666666</v>
      </c>
      <c r="N283">
        <v>30</v>
      </c>
      <c r="O283">
        <v>25.2</v>
      </c>
      <c r="P283">
        <v>25.4</v>
      </c>
      <c r="Q283" s="7">
        <f t="shared" si="44"/>
        <v>0.99212598425196852</v>
      </c>
      <c r="R283">
        <v>30</v>
      </c>
      <c r="S283">
        <v>30.4</v>
      </c>
      <c r="T283">
        <v>33.4</v>
      </c>
      <c r="U283" s="7">
        <f t="shared" si="45"/>
        <v>0.91017964071856283</v>
      </c>
      <c r="V283">
        <v>30</v>
      </c>
      <c r="W283">
        <v>27.3</v>
      </c>
      <c r="X283">
        <v>26.7</v>
      </c>
      <c r="Y283" s="7">
        <f t="shared" si="46"/>
        <v>1.0224719101123596</v>
      </c>
    </row>
    <row r="285" spans="1:25" x14ac:dyDescent="0.3">
      <c r="A285" s="23" t="s">
        <v>34</v>
      </c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N285" s="23" t="s">
        <v>35</v>
      </c>
      <c r="O285" s="23"/>
      <c r="P285" s="23"/>
      <c r="Q285" s="23"/>
      <c r="R285" s="23"/>
      <c r="S285" s="23"/>
      <c r="T285" s="23"/>
      <c r="U285" s="23"/>
      <c r="V285" s="23"/>
      <c r="W285" s="23"/>
      <c r="X285" s="23"/>
    </row>
    <row r="287" spans="1:25" x14ac:dyDescent="0.3">
      <c r="A287" s="6" t="s">
        <v>3</v>
      </c>
      <c r="E287" s="6" t="s">
        <v>2</v>
      </c>
      <c r="I287" s="6" t="s">
        <v>0</v>
      </c>
      <c r="N287" s="6" t="s">
        <v>3</v>
      </c>
      <c r="R287" s="6" t="s">
        <v>2</v>
      </c>
      <c r="V287" s="6" t="s">
        <v>0</v>
      </c>
    </row>
    <row r="288" spans="1:25" x14ac:dyDescent="0.3">
      <c r="A288" t="s">
        <v>16</v>
      </c>
      <c r="B288" t="s">
        <v>17</v>
      </c>
      <c r="C288" t="s">
        <v>18</v>
      </c>
      <c r="D288" t="s">
        <v>19</v>
      </c>
      <c r="E288" t="s">
        <v>16</v>
      </c>
      <c r="F288" t="s">
        <v>17</v>
      </c>
      <c r="G288" t="s">
        <v>18</v>
      </c>
      <c r="H288" t="s">
        <v>19</v>
      </c>
      <c r="I288" t="s">
        <v>16</v>
      </c>
      <c r="J288" t="s">
        <v>17</v>
      </c>
      <c r="K288" t="s">
        <v>18</v>
      </c>
      <c r="L288" t="s">
        <v>19</v>
      </c>
      <c r="N288" t="s">
        <v>16</v>
      </c>
      <c r="O288" t="s">
        <v>17</v>
      </c>
      <c r="P288" t="s">
        <v>18</v>
      </c>
      <c r="Q288" t="s">
        <v>19</v>
      </c>
      <c r="R288" t="s">
        <v>16</v>
      </c>
      <c r="S288" t="s">
        <v>17</v>
      </c>
      <c r="T288" t="s">
        <v>18</v>
      </c>
      <c r="U288" t="s">
        <v>19</v>
      </c>
      <c r="V288" t="s">
        <v>16</v>
      </c>
      <c r="W288" t="s">
        <v>17</v>
      </c>
      <c r="X288" t="s">
        <v>18</v>
      </c>
      <c r="Y288" t="s">
        <v>19</v>
      </c>
    </row>
    <row r="289" spans="1:25" x14ac:dyDescent="0.3">
      <c r="A289">
        <v>1</v>
      </c>
      <c r="B289">
        <v>32</v>
      </c>
      <c r="C289">
        <v>29</v>
      </c>
      <c r="D289" s="7">
        <f>B289/C289</f>
        <v>1.103448275862069</v>
      </c>
      <c r="E289">
        <v>1</v>
      </c>
      <c r="F289">
        <v>32.9</v>
      </c>
      <c r="G289">
        <v>31.2</v>
      </c>
      <c r="H289" s="7">
        <f>F289/G289</f>
        <v>1.0544871794871795</v>
      </c>
      <c r="I289">
        <v>1</v>
      </c>
      <c r="J289">
        <v>30</v>
      </c>
      <c r="K289">
        <v>28.6</v>
      </c>
      <c r="L289" s="7">
        <f>J289/K289</f>
        <v>1.048951048951049</v>
      </c>
      <c r="N289">
        <v>1</v>
      </c>
      <c r="O289">
        <v>37.799999999999997</v>
      </c>
      <c r="P289">
        <v>34.299999999999997</v>
      </c>
      <c r="Q289" s="7">
        <f>O289/P289</f>
        <v>1.1020408163265307</v>
      </c>
      <c r="R289">
        <v>1</v>
      </c>
      <c r="S289">
        <v>30.3</v>
      </c>
      <c r="T289">
        <v>29.1</v>
      </c>
      <c r="U289" s="7">
        <f>S289/T289</f>
        <v>1.0412371134020619</v>
      </c>
      <c r="V289">
        <v>1</v>
      </c>
      <c r="W289">
        <v>36.700000000000003</v>
      </c>
      <c r="X289">
        <v>37.700000000000003</v>
      </c>
      <c r="Y289" s="7">
        <f>W289/X289</f>
        <v>0.97347480106100792</v>
      </c>
    </row>
    <row r="290" spans="1:25" x14ac:dyDescent="0.3">
      <c r="A290">
        <v>2</v>
      </c>
      <c r="B290">
        <v>29.6</v>
      </c>
      <c r="C290">
        <v>26.5</v>
      </c>
      <c r="D290" s="7">
        <f t="shared" ref="D290:D318" si="47">B290/C290</f>
        <v>1.1169811320754717</v>
      </c>
      <c r="E290">
        <v>2</v>
      </c>
      <c r="F290">
        <v>33.200000000000003</v>
      </c>
      <c r="G290">
        <v>29.9</v>
      </c>
      <c r="H290" s="7">
        <f t="shared" ref="H290:H318" si="48">F290/G290</f>
        <v>1.1103678929765888</v>
      </c>
      <c r="I290">
        <v>2</v>
      </c>
      <c r="J290">
        <v>35</v>
      </c>
      <c r="K290">
        <v>32.6</v>
      </c>
      <c r="L290" s="7">
        <f t="shared" ref="L290:L318" si="49">J290/K290</f>
        <v>1.0736196319018405</v>
      </c>
      <c r="N290">
        <v>2</v>
      </c>
      <c r="O290">
        <v>28.3</v>
      </c>
      <c r="P290">
        <v>30.3</v>
      </c>
      <c r="Q290" s="7">
        <f t="shared" ref="Q290:Q318" si="50">O290/P290</f>
        <v>0.93399339933993397</v>
      </c>
      <c r="R290">
        <v>2</v>
      </c>
      <c r="S290">
        <v>33.700000000000003</v>
      </c>
      <c r="T290">
        <v>31.1</v>
      </c>
      <c r="U290" s="7">
        <f t="shared" ref="U290:U318" si="51">S290/T290</f>
        <v>1.0836012861736335</v>
      </c>
      <c r="V290">
        <v>2</v>
      </c>
      <c r="W290">
        <v>30.8</v>
      </c>
      <c r="X290">
        <v>31.2</v>
      </c>
      <c r="Y290" s="7">
        <f t="shared" ref="Y290:Y318" si="52">W290/X290</f>
        <v>0.98717948717948723</v>
      </c>
    </row>
    <row r="291" spans="1:25" x14ac:dyDescent="0.3">
      <c r="A291">
        <v>3</v>
      </c>
      <c r="B291">
        <v>39</v>
      </c>
      <c r="C291">
        <v>35.1</v>
      </c>
      <c r="D291" s="7">
        <f t="shared" si="47"/>
        <v>1.1111111111111112</v>
      </c>
      <c r="E291">
        <v>3</v>
      </c>
      <c r="F291">
        <v>33.4</v>
      </c>
      <c r="G291">
        <v>32.9</v>
      </c>
      <c r="H291" s="7">
        <f t="shared" si="48"/>
        <v>1.0151975683890577</v>
      </c>
      <c r="I291">
        <v>3</v>
      </c>
      <c r="J291">
        <v>29.7</v>
      </c>
      <c r="K291">
        <v>27.3</v>
      </c>
      <c r="L291" s="7">
        <f t="shared" si="49"/>
        <v>1.0879120879120878</v>
      </c>
      <c r="N291">
        <v>3</v>
      </c>
      <c r="O291">
        <v>33.200000000000003</v>
      </c>
      <c r="P291">
        <v>31.3</v>
      </c>
      <c r="Q291" s="7">
        <f t="shared" si="50"/>
        <v>1.060702875399361</v>
      </c>
      <c r="R291">
        <v>3</v>
      </c>
      <c r="S291">
        <v>24.4</v>
      </c>
      <c r="T291">
        <v>23.8</v>
      </c>
      <c r="U291" s="7">
        <f t="shared" si="51"/>
        <v>1.0252100840336134</v>
      </c>
      <c r="V291">
        <v>3</v>
      </c>
      <c r="W291">
        <v>26.4</v>
      </c>
      <c r="X291">
        <v>25</v>
      </c>
      <c r="Y291" s="7">
        <f t="shared" si="52"/>
        <v>1.056</v>
      </c>
    </row>
    <row r="292" spans="1:25" x14ac:dyDescent="0.3">
      <c r="A292">
        <v>4</v>
      </c>
      <c r="B292">
        <v>32.700000000000003</v>
      </c>
      <c r="C292">
        <v>28.8</v>
      </c>
      <c r="D292" s="7">
        <f t="shared" si="47"/>
        <v>1.1354166666666667</v>
      </c>
      <c r="E292">
        <v>4</v>
      </c>
      <c r="F292">
        <v>33.1</v>
      </c>
      <c r="G292">
        <v>31</v>
      </c>
      <c r="H292" s="7">
        <f t="shared" si="48"/>
        <v>1.0677419354838711</v>
      </c>
      <c r="I292">
        <v>4</v>
      </c>
      <c r="J292">
        <v>31.7</v>
      </c>
      <c r="K292">
        <v>29.3</v>
      </c>
      <c r="L292" s="7">
        <f t="shared" si="49"/>
        <v>1.0819112627986347</v>
      </c>
      <c r="N292">
        <v>4</v>
      </c>
      <c r="O292">
        <v>26.6</v>
      </c>
      <c r="P292">
        <v>24.3</v>
      </c>
      <c r="Q292" s="7">
        <f t="shared" si="50"/>
        <v>1.094650205761317</v>
      </c>
      <c r="R292">
        <v>4</v>
      </c>
      <c r="S292">
        <v>35</v>
      </c>
      <c r="T292">
        <v>29.8</v>
      </c>
      <c r="U292" s="7">
        <f t="shared" si="51"/>
        <v>1.174496644295302</v>
      </c>
      <c r="V292">
        <v>4</v>
      </c>
      <c r="W292">
        <v>26.2</v>
      </c>
      <c r="X292">
        <v>27.2</v>
      </c>
      <c r="Y292" s="7">
        <f t="shared" si="52"/>
        <v>0.96323529411764708</v>
      </c>
    </row>
    <row r="293" spans="1:25" x14ac:dyDescent="0.3">
      <c r="A293">
        <v>5</v>
      </c>
      <c r="B293">
        <v>32.6</v>
      </c>
      <c r="C293">
        <v>27.4</v>
      </c>
      <c r="D293" s="7">
        <f t="shared" si="47"/>
        <v>1.1897810218978104</v>
      </c>
      <c r="E293">
        <v>5</v>
      </c>
      <c r="F293">
        <v>31.7</v>
      </c>
      <c r="G293">
        <v>32.9</v>
      </c>
      <c r="H293" s="7">
        <f t="shared" si="48"/>
        <v>0.96352583586626139</v>
      </c>
      <c r="I293">
        <v>5</v>
      </c>
      <c r="J293">
        <v>39.4</v>
      </c>
      <c r="K293">
        <v>34.6</v>
      </c>
      <c r="L293" s="7">
        <f t="shared" si="49"/>
        <v>1.1387283236994219</v>
      </c>
      <c r="N293">
        <v>5</v>
      </c>
      <c r="O293">
        <v>25.1</v>
      </c>
      <c r="P293">
        <v>25.3</v>
      </c>
      <c r="Q293" s="7">
        <f t="shared" si="50"/>
        <v>0.9920948616600791</v>
      </c>
      <c r="R293">
        <v>5</v>
      </c>
      <c r="S293">
        <v>33.6</v>
      </c>
      <c r="T293">
        <v>32.1</v>
      </c>
      <c r="U293" s="7">
        <f t="shared" si="51"/>
        <v>1.0467289719626167</v>
      </c>
      <c r="V293">
        <v>5</v>
      </c>
      <c r="W293">
        <v>29.4</v>
      </c>
      <c r="X293">
        <v>26.4</v>
      </c>
      <c r="Y293" s="7">
        <f t="shared" si="52"/>
        <v>1.1136363636363635</v>
      </c>
    </row>
    <row r="294" spans="1:25" x14ac:dyDescent="0.3">
      <c r="A294">
        <v>6</v>
      </c>
      <c r="B294">
        <v>32.700000000000003</v>
      </c>
      <c r="C294">
        <v>30.6</v>
      </c>
      <c r="D294" s="7">
        <f t="shared" si="47"/>
        <v>1.0686274509803921</v>
      </c>
      <c r="E294">
        <v>6</v>
      </c>
      <c r="F294">
        <v>27.9</v>
      </c>
      <c r="G294">
        <v>27.2</v>
      </c>
      <c r="H294" s="7">
        <f t="shared" si="48"/>
        <v>1.025735294117647</v>
      </c>
      <c r="I294">
        <v>6</v>
      </c>
      <c r="J294">
        <v>24.6</v>
      </c>
      <c r="K294">
        <v>23</v>
      </c>
      <c r="L294" s="7">
        <f t="shared" si="49"/>
        <v>1.0695652173913044</v>
      </c>
      <c r="N294">
        <v>6</v>
      </c>
      <c r="O294">
        <v>29.6</v>
      </c>
      <c r="P294">
        <v>33.200000000000003</v>
      </c>
      <c r="Q294" s="7">
        <f t="shared" si="50"/>
        <v>0.89156626506024095</v>
      </c>
      <c r="R294">
        <v>6</v>
      </c>
      <c r="S294">
        <v>30.8</v>
      </c>
      <c r="T294">
        <v>29.3</v>
      </c>
      <c r="U294" s="7">
        <f t="shared" si="51"/>
        <v>1.0511945392491469</v>
      </c>
      <c r="V294">
        <v>6</v>
      </c>
      <c r="W294">
        <v>30.9</v>
      </c>
      <c r="X294">
        <v>30.6</v>
      </c>
      <c r="Y294" s="7">
        <f t="shared" si="52"/>
        <v>1.0098039215686274</v>
      </c>
    </row>
    <row r="295" spans="1:25" x14ac:dyDescent="0.3">
      <c r="A295">
        <v>7</v>
      </c>
      <c r="B295">
        <v>33.9</v>
      </c>
      <c r="C295">
        <v>30.9</v>
      </c>
      <c r="D295" s="7">
        <f t="shared" si="47"/>
        <v>1.0970873786407767</v>
      </c>
      <c r="E295">
        <v>7</v>
      </c>
      <c r="F295">
        <v>34.4</v>
      </c>
      <c r="G295">
        <v>31.8</v>
      </c>
      <c r="H295" s="7">
        <f t="shared" si="48"/>
        <v>1.0817610062893082</v>
      </c>
      <c r="I295">
        <v>7</v>
      </c>
      <c r="J295">
        <v>35.200000000000003</v>
      </c>
      <c r="K295">
        <v>35.200000000000003</v>
      </c>
      <c r="L295" s="7">
        <f t="shared" si="49"/>
        <v>1</v>
      </c>
      <c r="N295">
        <v>7</v>
      </c>
      <c r="O295">
        <v>36.799999999999997</v>
      </c>
      <c r="P295">
        <v>37.700000000000003</v>
      </c>
      <c r="Q295" s="7">
        <f t="shared" si="50"/>
        <v>0.97612732095490706</v>
      </c>
      <c r="R295">
        <v>7</v>
      </c>
      <c r="S295">
        <v>29</v>
      </c>
      <c r="T295">
        <v>30.9</v>
      </c>
      <c r="U295" s="7">
        <f t="shared" si="51"/>
        <v>0.93851132686084149</v>
      </c>
      <c r="V295">
        <v>7</v>
      </c>
      <c r="W295">
        <v>27</v>
      </c>
      <c r="X295">
        <v>26.8</v>
      </c>
      <c r="Y295" s="7">
        <f t="shared" si="52"/>
        <v>1.0074626865671641</v>
      </c>
    </row>
    <row r="296" spans="1:25" x14ac:dyDescent="0.3">
      <c r="A296">
        <v>8</v>
      </c>
      <c r="B296">
        <v>27.7</v>
      </c>
      <c r="C296">
        <v>27</v>
      </c>
      <c r="D296" s="7">
        <f t="shared" si="47"/>
        <v>1.0259259259259259</v>
      </c>
      <c r="E296">
        <v>8</v>
      </c>
      <c r="F296">
        <v>29.1</v>
      </c>
      <c r="G296">
        <v>27.7</v>
      </c>
      <c r="H296" s="7">
        <f t="shared" si="48"/>
        <v>1.0505415162454874</v>
      </c>
      <c r="I296">
        <v>8</v>
      </c>
      <c r="J296">
        <v>33.1</v>
      </c>
      <c r="K296">
        <v>28.6</v>
      </c>
      <c r="L296" s="7">
        <f t="shared" si="49"/>
        <v>1.1573426573426573</v>
      </c>
      <c r="N296">
        <v>8</v>
      </c>
      <c r="O296">
        <v>27.8</v>
      </c>
      <c r="P296">
        <v>28</v>
      </c>
      <c r="Q296" s="7">
        <f t="shared" si="50"/>
        <v>0.99285714285714288</v>
      </c>
      <c r="R296">
        <v>8</v>
      </c>
      <c r="S296">
        <v>39</v>
      </c>
      <c r="T296">
        <v>37.700000000000003</v>
      </c>
      <c r="U296" s="7">
        <f t="shared" si="51"/>
        <v>1.0344827586206895</v>
      </c>
      <c r="V296">
        <v>8</v>
      </c>
      <c r="W296">
        <v>35.299999999999997</v>
      </c>
      <c r="X296">
        <v>32.5</v>
      </c>
      <c r="Y296" s="7">
        <f t="shared" si="52"/>
        <v>1.086153846153846</v>
      </c>
    </row>
    <row r="297" spans="1:25" x14ac:dyDescent="0.3">
      <c r="A297">
        <v>9</v>
      </c>
      <c r="B297">
        <v>29.6</v>
      </c>
      <c r="C297">
        <v>27.9</v>
      </c>
      <c r="D297" s="7">
        <f t="shared" si="47"/>
        <v>1.0609318996415771</v>
      </c>
      <c r="E297">
        <v>9</v>
      </c>
      <c r="F297">
        <v>28.5</v>
      </c>
      <c r="G297">
        <v>26.7</v>
      </c>
      <c r="H297" s="7">
        <f t="shared" si="48"/>
        <v>1.0674157303370786</v>
      </c>
      <c r="I297">
        <v>9</v>
      </c>
      <c r="J297">
        <v>34.700000000000003</v>
      </c>
      <c r="K297">
        <v>31.3</v>
      </c>
      <c r="L297" s="7">
        <f t="shared" si="49"/>
        <v>1.1086261980830672</v>
      </c>
      <c r="N297">
        <v>9</v>
      </c>
      <c r="O297">
        <v>28.8</v>
      </c>
      <c r="P297">
        <v>28.9</v>
      </c>
      <c r="Q297" s="7">
        <f t="shared" si="50"/>
        <v>0.99653979238754331</v>
      </c>
      <c r="R297">
        <v>9</v>
      </c>
      <c r="S297">
        <v>36.200000000000003</v>
      </c>
      <c r="T297">
        <v>32.299999999999997</v>
      </c>
      <c r="U297" s="7">
        <f t="shared" si="51"/>
        <v>1.1207430340557278</v>
      </c>
      <c r="V297">
        <v>9</v>
      </c>
      <c r="W297">
        <v>27.4</v>
      </c>
      <c r="X297">
        <v>25.9</v>
      </c>
      <c r="Y297" s="7">
        <f t="shared" si="52"/>
        <v>1.057915057915058</v>
      </c>
    </row>
    <row r="298" spans="1:25" x14ac:dyDescent="0.3">
      <c r="A298">
        <v>10</v>
      </c>
      <c r="B298">
        <v>26.9</v>
      </c>
      <c r="C298">
        <v>23</v>
      </c>
      <c r="D298" s="7">
        <f t="shared" si="47"/>
        <v>1.1695652173913043</v>
      </c>
      <c r="E298">
        <v>10</v>
      </c>
      <c r="F298">
        <v>28.1</v>
      </c>
      <c r="G298">
        <v>26</v>
      </c>
      <c r="H298" s="7">
        <f t="shared" si="48"/>
        <v>1.0807692307692309</v>
      </c>
      <c r="I298">
        <v>10</v>
      </c>
      <c r="J298">
        <v>30.2</v>
      </c>
      <c r="K298">
        <v>28.6</v>
      </c>
      <c r="L298" s="7">
        <f t="shared" si="49"/>
        <v>1.0559440559440558</v>
      </c>
      <c r="N298">
        <v>10</v>
      </c>
      <c r="O298">
        <v>28.3</v>
      </c>
      <c r="P298">
        <v>26.6</v>
      </c>
      <c r="Q298" s="7">
        <f t="shared" si="50"/>
        <v>1.0639097744360901</v>
      </c>
      <c r="R298">
        <v>10</v>
      </c>
      <c r="S298">
        <v>24.9</v>
      </c>
      <c r="T298">
        <v>26.3</v>
      </c>
      <c r="U298" s="7">
        <f t="shared" si="51"/>
        <v>0.94676806083650178</v>
      </c>
      <c r="V298">
        <v>10</v>
      </c>
      <c r="W298">
        <v>29.5</v>
      </c>
      <c r="X298">
        <v>28.4</v>
      </c>
      <c r="Y298" s="7">
        <f t="shared" si="52"/>
        <v>1.0387323943661972</v>
      </c>
    </row>
    <row r="299" spans="1:25" x14ac:dyDescent="0.3">
      <c r="A299">
        <v>11</v>
      </c>
      <c r="B299">
        <v>27.3</v>
      </c>
      <c r="C299">
        <v>24.3</v>
      </c>
      <c r="D299" s="7">
        <f t="shared" si="47"/>
        <v>1.1234567901234569</v>
      </c>
      <c r="E299">
        <v>11</v>
      </c>
      <c r="F299">
        <v>28.8</v>
      </c>
      <c r="G299">
        <v>27.5</v>
      </c>
      <c r="H299" s="7">
        <f t="shared" si="48"/>
        <v>1.0472727272727274</v>
      </c>
      <c r="I299">
        <v>11</v>
      </c>
      <c r="J299">
        <v>27.6</v>
      </c>
      <c r="K299">
        <v>24.6</v>
      </c>
      <c r="L299" s="7">
        <f t="shared" si="49"/>
        <v>1.121951219512195</v>
      </c>
      <c r="N299">
        <v>11</v>
      </c>
      <c r="O299">
        <v>28.7</v>
      </c>
      <c r="P299">
        <v>28</v>
      </c>
      <c r="Q299" s="7">
        <f t="shared" si="50"/>
        <v>1.0249999999999999</v>
      </c>
      <c r="R299">
        <v>11</v>
      </c>
      <c r="S299">
        <v>39.299999999999997</v>
      </c>
      <c r="T299">
        <v>39.799999999999997</v>
      </c>
      <c r="U299" s="7">
        <f t="shared" si="51"/>
        <v>0.98743718592964824</v>
      </c>
      <c r="V299">
        <v>11</v>
      </c>
      <c r="W299">
        <v>27.3</v>
      </c>
      <c r="X299">
        <v>30.2</v>
      </c>
      <c r="Y299" s="7">
        <f t="shared" si="52"/>
        <v>0.9039735099337749</v>
      </c>
    </row>
    <row r="300" spans="1:25" x14ac:dyDescent="0.3">
      <c r="A300">
        <v>12</v>
      </c>
      <c r="B300">
        <v>27.5</v>
      </c>
      <c r="C300">
        <v>26.7</v>
      </c>
      <c r="D300" s="7">
        <f t="shared" si="47"/>
        <v>1.0299625468164795</v>
      </c>
      <c r="E300">
        <v>12</v>
      </c>
      <c r="F300">
        <v>34.4</v>
      </c>
      <c r="G300">
        <v>32.200000000000003</v>
      </c>
      <c r="H300" s="7">
        <f t="shared" si="48"/>
        <v>1.0683229813664594</v>
      </c>
      <c r="I300">
        <v>12</v>
      </c>
      <c r="J300">
        <v>30.3</v>
      </c>
      <c r="K300">
        <v>29.8</v>
      </c>
      <c r="L300" s="7">
        <f t="shared" si="49"/>
        <v>1.0167785234899329</v>
      </c>
      <c r="N300">
        <v>12</v>
      </c>
      <c r="O300">
        <v>30.1</v>
      </c>
      <c r="P300">
        <v>25.9</v>
      </c>
      <c r="Q300" s="7">
        <f t="shared" si="50"/>
        <v>1.1621621621621623</v>
      </c>
      <c r="R300">
        <v>12</v>
      </c>
      <c r="S300">
        <v>23.8</v>
      </c>
      <c r="T300">
        <v>22.6</v>
      </c>
      <c r="U300" s="7">
        <f t="shared" si="51"/>
        <v>1.0530973451327432</v>
      </c>
      <c r="V300">
        <v>12</v>
      </c>
      <c r="W300">
        <v>28.8</v>
      </c>
      <c r="X300">
        <v>26</v>
      </c>
      <c r="Y300" s="7">
        <f t="shared" si="52"/>
        <v>1.1076923076923078</v>
      </c>
    </row>
    <row r="301" spans="1:25" x14ac:dyDescent="0.3">
      <c r="A301">
        <v>13</v>
      </c>
      <c r="B301">
        <v>28.6</v>
      </c>
      <c r="C301">
        <v>27.1</v>
      </c>
      <c r="D301" s="7">
        <f t="shared" si="47"/>
        <v>1.055350553505535</v>
      </c>
      <c r="E301">
        <v>13</v>
      </c>
      <c r="F301">
        <v>33.799999999999997</v>
      </c>
      <c r="G301">
        <v>28.9</v>
      </c>
      <c r="H301" s="7">
        <f t="shared" si="48"/>
        <v>1.1695501730103806</v>
      </c>
      <c r="I301">
        <v>13</v>
      </c>
      <c r="J301">
        <v>39.6</v>
      </c>
      <c r="K301">
        <v>37.1</v>
      </c>
      <c r="L301" s="7">
        <f t="shared" si="49"/>
        <v>1.0673854447439353</v>
      </c>
      <c r="N301">
        <v>13</v>
      </c>
      <c r="O301">
        <v>25.4</v>
      </c>
      <c r="P301">
        <v>25.5</v>
      </c>
      <c r="Q301" s="7">
        <f t="shared" si="50"/>
        <v>0.99607843137254892</v>
      </c>
      <c r="R301">
        <v>13</v>
      </c>
      <c r="S301">
        <v>30.8</v>
      </c>
      <c r="T301">
        <v>29.4</v>
      </c>
      <c r="U301" s="7">
        <f t="shared" si="51"/>
        <v>1.0476190476190477</v>
      </c>
      <c r="V301">
        <v>13</v>
      </c>
      <c r="W301">
        <v>25.3</v>
      </c>
      <c r="X301">
        <v>25.4</v>
      </c>
      <c r="Y301" s="7">
        <f t="shared" si="52"/>
        <v>0.99606299212598437</v>
      </c>
    </row>
    <row r="302" spans="1:25" x14ac:dyDescent="0.3">
      <c r="A302">
        <v>14</v>
      </c>
      <c r="B302">
        <v>30.5</v>
      </c>
      <c r="C302">
        <v>27.5</v>
      </c>
      <c r="D302" s="7">
        <f t="shared" si="47"/>
        <v>1.1090909090909091</v>
      </c>
      <c r="E302">
        <v>14</v>
      </c>
      <c r="F302">
        <v>31.5</v>
      </c>
      <c r="G302">
        <v>28</v>
      </c>
      <c r="H302" s="7">
        <f t="shared" si="48"/>
        <v>1.125</v>
      </c>
      <c r="I302">
        <v>14</v>
      </c>
      <c r="J302">
        <v>31</v>
      </c>
      <c r="K302">
        <v>30.5</v>
      </c>
      <c r="L302" s="7">
        <f t="shared" si="49"/>
        <v>1.0163934426229508</v>
      </c>
      <c r="N302">
        <v>14</v>
      </c>
      <c r="O302">
        <v>26.6</v>
      </c>
      <c r="P302">
        <v>25.8</v>
      </c>
      <c r="Q302" s="7">
        <f t="shared" si="50"/>
        <v>1.0310077519379846</v>
      </c>
      <c r="R302">
        <v>14</v>
      </c>
      <c r="S302">
        <v>30.7</v>
      </c>
      <c r="T302">
        <v>29.1</v>
      </c>
      <c r="U302" s="7">
        <f t="shared" si="51"/>
        <v>1.0549828178694158</v>
      </c>
      <c r="V302">
        <v>14</v>
      </c>
      <c r="W302">
        <v>33.1</v>
      </c>
      <c r="X302">
        <v>30.2</v>
      </c>
      <c r="Y302" s="7">
        <f t="shared" si="52"/>
        <v>1.0960264900662253</v>
      </c>
    </row>
    <row r="303" spans="1:25" x14ac:dyDescent="0.3">
      <c r="A303">
        <v>15</v>
      </c>
      <c r="B303">
        <v>30.1</v>
      </c>
      <c r="C303">
        <v>27.5</v>
      </c>
      <c r="D303" s="7">
        <f t="shared" si="47"/>
        <v>1.0945454545454545</v>
      </c>
      <c r="E303">
        <v>15</v>
      </c>
      <c r="F303">
        <v>28.6</v>
      </c>
      <c r="G303">
        <v>26.9</v>
      </c>
      <c r="H303" s="7">
        <f t="shared" si="48"/>
        <v>1.0631970260223049</v>
      </c>
      <c r="I303">
        <v>15</v>
      </c>
      <c r="J303">
        <v>30.3</v>
      </c>
      <c r="K303">
        <v>31.3</v>
      </c>
      <c r="L303" s="7">
        <f t="shared" si="49"/>
        <v>0.96805111821086265</v>
      </c>
      <c r="N303">
        <v>15</v>
      </c>
      <c r="O303">
        <v>28.1</v>
      </c>
      <c r="P303">
        <v>27.2</v>
      </c>
      <c r="Q303" s="7">
        <f t="shared" si="50"/>
        <v>1.0330882352941178</v>
      </c>
      <c r="R303">
        <v>15</v>
      </c>
      <c r="S303">
        <v>29.6</v>
      </c>
      <c r="T303">
        <v>27.6</v>
      </c>
      <c r="U303" s="7">
        <f t="shared" si="51"/>
        <v>1.0724637681159421</v>
      </c>
      <c r="V303">
        <v>15</v>
      </c>
      <c r="W303">
        <v>33.4</v>
      </c>
      <c r="X303">
        <v>32.5</v>
      </c>
      <c r="Y303" s="7">
        <f t="shared" si="52"/>
        <v>1.0276923076923077</v>
      </c>
    </row>
    <row r="304" spans="1:25" x14ac:dyDescent="0.3">
      <c r="A304">
        <v>16</v>
      </c>
      <c r="B304">
        <v>30.3</v>
      </c>
      <c r="C304">
        <v>30.3</v>
      </c>
      <c r="D304" s="7">
        <f t="shared" si="47"/>
        <v>1</v>
      </c>
      <c r="E304">
        <v>16</v>
      </c>
      <c r="F304">
        <v>33.200000000000003</v>
      </c>
      <c r="G304">
        <v>30.8</v>
      </c>
      <c r="H304" s="7">
        <f t="shared" si="48"/>
        <v>1.0779220779220779</v>
      </c>
      <c r="I304">
        <v>16</v>
      </c>
      <c r="J304">
        <v>30.4</v>
      </c>
      <c r="K304">
        <v>28.2</v>
      </c>
      <c r="L304" s="7">
        <f t="shared" si="49"/>
        <v>1.0780141843971631</v>
      </c>
      <c r="N304">
        <v>16</v>
      </c>
      <c r="O304">
        <v>33</v>
      </c>
      <c r="P304">
        <v>32.299999999999997</v>
      </c>
      <c r="Q304" s="7">
        <f t="shared" si="50"/>
        <v>1.021671826625387</v>
      </c>
      <c r="R304">
        <v>16</v>
      </c>
      <c r="S304">
        <v>38.9</v>
      </c>
      <c r="T304">
        <v>35.5</v>
      </c>
      <c r="U304" s="7">
        <f t="shared" si="51"/>
        <v>1.0957746478873238</v>
      </c>
      <c r="V304">
        <v>16</v>
      </c>
      <c r="W304">
        <v>29.2</v>
      </c>
      <c r="X304">
        <v>25.8</v>
      </c>
      <c r="Y304" s="7">
        <f t="shared" si="52"/>
        <v>1.1317829457364341</v>
      </c>
    </row>
    <row r="305" spans="1:25" x14ac:dyDescent="0.3">
      <c r="A305">
        <v>17</v>
      </c>
      <c r="B305">
        <v>27.6</v>
      </c>
      <c r="C305">
        <v>26.2</v>
      </c>
      <c r="D305" s="7">
        <f t="shared" si="47"/>
        <v>1.0534351145038168</v>
      </c>
      <c r="E305">
        <v>17</v>
      </c>
      <c r="F305">
        <v>27.5</v>
      </c>
      <c r="G305">
        <v>30.1</v>
      </c>
      <c r="H305" s="7">
        <f t="shared" si="48"/>
        <v>0.91362126245847175</v>
      </c>
      <c r="I305">
        <v>17</v>
      </c>
      <c r="J305">
        <v>30.7</v>
      </c>
      <c r="K305">
        <v>27.8</v>
      </c>
      <c r="L305" s="7">
        <f t="shared" si="49"/>
        <v>1.1043165467625899</v>
      </c>
      <c r="N305">
        <v>17</v>
      </c>
      <c r="O305">
        <v>35.700000000000003</v>
      </c>
      <c r="P305">
        <v>35</v>
      </c>
      <c r="Q305" s="7">
        <f t="shared" si="50"/>
        <v>1.02</v>
      </c>
      <c r="R305">
        <v>17</v>
      </c>
      <c r="S305">
        <v>34.299999999999997</v>
      </c>
      <c r="T305">
        <v>28.6</v>
      </c>
      <c r="U305" s="7">
        <f t="shared" si="51"/>
        <v>1.1993006993006992</v>
      </c>
      <c r="V305">
        <v>17</v>
      </c>
      <c r="W305">
        <v>34.700000000000003</v>
      </c>
      <c r="X305">
        <v>30.9</v>
      </c>
      <c r="Y305" s="7">
        <f t="shared" si="52"/>
        <v>1.1229773462783172</v>
      </c>
    </row>
    <row r="306" spans="1:25" x14ac:dyDescent="0.3">
      <c r="A306">
        <v>18</v>
      </c>
      <c r="B306">
        <v>30.8</v>
      </c>
      <c r="C306">
        <v>26.5</v>
      </c>
      <c r="D306" s="7">
        <f t="shared" si="47"/>
        <v>1.1622641509433962</v>
      </c>
      <c r="E306">
        <v>18</v>
      </c>
      <c r="F306">
        <v>37.200000000000003</v>
      </c>
      <c r="G306">
        <v>29.9</v>
      </c>
      <c r="H306" s="7">
        <f t="shared" si="48"/>
        <v>1.2441471571906355</v>
      </c>
      <c r="I306">
        <v>18</v>
      </c>
      <c r="J306">
        <v>29.2</v>
      </c>
      <c r="K306">
        <v>27.3</v>
      </c>
      <c r="L306" s="7">
        <f t="shared" si="49"/>
        <v>1.0695970695970696</v>
      </c>
      <c r="N306">
        <v>18</v>
      </c>
      <c r="O306">
        <v>32.4</v>
      </c>
      <c r="P306">
        <v>31.2</v>
      </c>
      <c r="Q306" s="7">
        <f t="shared" si="50"/>
        <v>1.0384615384615385</v>
      </c>
      <c r="R306">
        <v>18</v>
      </c>
      <c r="S306">
        <v>27.9</v>
      </c>
      <c r="T306">
        <v>26.9</v>
      </c>
      <c r="U306" s="7">
        <f t="shared" si="51"/>
        <v>1.037174721189591</v>
      </c>
      <c r="V306">
        <v>18</v>
      </c>
      <c r="W306">
        <v>35.4</v>
      </c>
      <c r="X306">
        <v>37.6</v>
      </c>
      <c r="Y306" s="7">
        <f t="shared" si="52"/>
        <v>0.9414893617021276</v>
      </c>
    </row>
    <row r="307" spans="1:25" x14ac:dyDescent="0.3">
      <c r="A307">
        <v>19</v>
      </c>
      <c r="B307">
        <v>31.1</v>
      </c>
      <c r="C307">
        <v>29.9</v>
      </c>
      <c r="D307" s="7">
        <f t="shared" si="47"/>
        <v>1.0401337792642142</v>
      </c>
      <c r="E307">
        <v>19</v>
      </c>
      <c r="F307">
        <v>31.4</v>
      </c>
      <c r="G307">
        <v>29.6</v>
      </c>
      <c r="H307" s="7">
        <f t="shared" si="48"/>
        <v>1.0608108108108107</v>
      </c>
      <c r="I307">
        <v>19</v>
      </c>
      <c r="J307">
        <v>26.8</v>
      </c>
      <c r="K307">
        <v>26.5</v>
      </c>
      <c r="L307" s="7">
        <f t="shared" si="49"/>
        <v>1.0113207547169811</v>
      </c>
      <c r="N307">
        <v>19</v>
      </c>
      <c r="O307">
        <v>35</v>
      </c>
      <c r="P307">
        <v>31</v>
      </c>
      <c r="Q307" s="7">
        <f t="shared" si="50"/>
        <v>1.1290322580645162</v>
      </c>
      <c r="R307">
        <v>19</v>
      </c>
      <c r="S307">
        <v>37.200000000000003</v>
      </c>
      <c r="T307">
        <v>34.5</v>
      </c>
      <c r="U307" s="7">
        <f t="shared" si="51"/>
        <v>1.0782608695652174</v>
      </c>
      <c r="V307">
        <v>19</v>
      </c>
      <c r="W307">
        <v>32</v>
      </c>
      <c r="X307">
        <v>28.4</v>
      </c>
      <c r="Y307" s="7">
        <f t="shared" si="52"/>
        <v>1.1267605633802817</v>
      </c>
    </row>
    <row r="308" spans="1:25" x14ac:dyDescent="0.3">
      <c r="A308">
        <v>20</v>
      </c>
      <c r="B308">
        <v>30.2</v>
      </c>
      <c r="C308">
        <v>27.3</v>
      </c>
      <c r="D308" s="7">
        <f t="shared" si="47"/>
        <v>1.1062271062271061</v>
      </c>
      <c r="E308">
        <v>20</v>
      </c>
      <c r="F308">
        <v>27.9</v>
      </c>
      <c r="G308">
        <v>28.2</v>
      </c>
      <c r="H308" s="7">
        <f t="shared" si="48"/>
        <v>0.9893617021276595</v>
      </c>
      <c r="I308">
        <v>20</v>
      </c>
      <c r="J308">
        <v>28.8</v>
      </c>
      <c r="K308">
        <v>25.8</v>
      </c>
      <c r="L308" s="7">
        <f t="shared" si="49"/>
        <v>1.1162790697674418</v>
      </c>
      <c r="N308">
        <v>20</v>
      </c>
      <c r="O308">
        <v>32.1</v>
      </c>
      <c r="P308">
        <v>31.7</v>
      </c>
      <c r="Q308" s="7">
        <f t="shared" si="50"/>
        <v>1.0126182965299686</v>
      </c>
      <c r="R308">
        <v>20</v>
      </c>
      <c r="S308">
        <v>35.6</v>
      </c>
      <c r="T308">
        <v>35.299999999999997</v>
      </c>
      <c r="U308" s="7">
        <f t="shared" si="51"/>
        <v>1.0084985835694051</v>
      </c>
      <c r="V308">
        <v>20</v>
      </c>
      <c r="W308">
        <v>28.6</v>
      </c>
      <c r="X308">
        <v>26.6</v>
      </c>
      <c r="Y308" s="7">
        <f t="shared" si="52"/>
        <v>1.0751879699248121</v>
      </c>
    </row>
    <row r="309" spans="1:25" x14ac:dyDescent="0.3">
      <c r="A309">
        <v>21</v>
      </c>
      <c r="B309">
        <v>29.1</v>
      </c>
      <c r="C309">
        <v>28.9</v>
      </c>
      <c r="D309" s="7">
        <f t="shared" si="47"/>
        <v>1.0069204152249136</v>
      </c>
      <c r="E309">
        <v>21</v>
      </c>
      <c r="F309">
        <v>28.3</v>
      </c>
      <c r="G309">
        <v>28</v>
      </c>
      <c r="H309" s="7">
        <f t="shared" si="48"/>
        <v>1.0107142857142857</v>
      </c>
      <c r="I309">
        <v>21</v>
      </c>
      <c r="J309">
        <v>27.4</v>
      </c>
      <c r="K309">
        <v>26.9</v>
      </c>
      <c r="L309" s="7">
        <f t="shared" si="49"/>
        <v>1.0185873605947955</v>
      </c>
      <c r="N309">
        <v>21</v>
      </c>
      <c r="O309">
        <v>28.5</v>
      </c>
      <c r="P309">
        <v>29.8</v>
      </c>
      <c r="Q309" s="7">
        <f t="shared" si="50"/>
        <v>0.9563758389261745</v>
      </c>
      <c r="R309">
        <v>21</v>
      </c>
      <c r="S309">
        <v>28.6</v>
      </c>
      <c r="T309">
        <v>27.2</v>
      </c>
      <c r="U309" s="7">
        <f t="shared" si="51"/>
        <v>1.0514705882352942</v>
      </c>
      <c r="V309">
        <v>21</v>
      </c>
      <c r="W309">
        <v>28.1</v>
      </c>
      <c r="X309">
        <v>30.3</v>
      </c>
      <c r="Y309" s="7">
        <f t="shared" si="52"/>
        <v>0.9273927392739274</v>
      </c>
    </row>
    <row r="310" spans="1:25" x14ac:dyDescent="0.3">
      <c r="A310">
        <v>22</v>
      </c>
      <c r="B310">
        <v>31.3</v>
      </c>
      <c r="C310">
        <v>27.6</v>
      </c>
      <c r="D310" s="7">
        <f t="shared" si="47"/>
        <v>1.1340579710144927</v>
      </c>
      <c r="E310">
        <v>22</v>
      </c>
      <c r="F310">
        <v>35.5</v>
      </c>
      <c r="G310">
        <v>35.4</v>
      </c>
      <c r="H310" s="7">
        <f t="shared" si="48"/>
        <v>1.0028248587570623</v>
      </c>
      <c r="I310">
        <v>22</v>
      </c>
      <c r="J310">
        <v>31.4</v>
      </c>
      <c r="K310">
        <v>28.2</v>
      </c>
      <c r="L310" s="7">
        <f t="shared" si="49"/>
        <v>1.1134751773049645</v>
      </c>
      <c r="N310">
        <v>22</v>
      </c>
      <c r="O310">
        <v>30.7</v>
      </c>
      <c r="P310">
        <v>28.5</v>
      </c>
      <c r="Q310" s="7">
        <f t="shared" si="50"/>
        <v>1.0771929824561404</v>
      </c>
      <c r="R310">
        <v>22</v>
      </c>
      <c r="S310">
        <v>27.8</v>
      </c>
      <c r="T310">
        <v>28</v>
      </c>
      <c r="U310" s="7">
        <f t="shared" si="51"/>
        <v>0.99285714285714288</v>
      </c>
      <c r="V310">
        <v>22</v>
      </c>
      <c r="W310">
        <v>30.1</v>
      </c>
      <c r="X310">
        <v>28.3</v>
      </c>
      <c r="Y310" s="7">
        <f t="shared" si="52"/>
        <v>1.0636042402826855</v>
      </c>
    </row>
    <row r="311" spans="1:25" x14ac:dyDescent="0.3">
      <c r="A311">
        <v>23</v>
      </c>
      <c r="B311">
        <v>30.7</v>
      </c>
      <c r="C311">
        <v>30.1</v>
      </c>
      <c r="D311" s="7">
        <f t="shared" si="47"/>
        <v>1.0199335548172757</v>
      </c>
      <c r="E311">
        <v>23</v>
      </c>
      <c r="F311">
        <v>33</v>
      </c>
      <c r="G311">
        <v>29.6</v>
      </c>
      <c r="H311" s="7">
        <f t="shared" si="48"/>
        <v>1.1148648648648649</v>
      </c>
      <c r="I311">
        <v>23</v>
      </c>
      <c r="J311">
        <v>33.200000000000003</v>
      </c>
      <c r="K311">
        <v>25.8</v>
      </c>
      <c r="L311" s="7">
        <f t="shared" si="49"/>
        <v>1.2868217054263567</v>
      </c>
      <c r="N311">
        <v>23</v>
      </c>
      <c r="O311">
        <v>24.2</v>
      </c>
      <c r="P311">
        <v>26.4</v>
      </c>
      <c r="Q311" s="7">
        <f t="shared" si="50"/>
        <v>0.91666666666666674</v>
      </c>
      <c r="R311">
        <v>23</v>
      </c>
      <c r="S311">
        <v>36.299999999999997</v>
      </c>
      <c r="T311">
        <v>33.799999999999997</v>
      </c>
      <c r="U311" s="7">
        <f t="shared" si="51"/>
        <v>1.0739644970414202</v>
      </c>
      <c r="V311">
        <v>23</v>
      </c>
      <c r="W311">
        <v>35.299999999999997</v>
      </c>
      <c r="X311">
        <v>37.9</v>
      </c>
      <c r="Y311" s="7">
        <f t="shared" si="52"/>
        <v>0.93139841688654346</v>
      </c>
    </row>
    <row r="312" spans="1:25" x14ac:dyDescent="0.3">
      <c r="A312">
        <v>24</v>
      </c>
      <c r="B312">
        <v>30.1</v>
      </c>
      <c r="C312">
        <v>28.1</v>
      </c>
      <c r="D312" s="7">
        <f t="shared" si="47"/>
        <v>1.0711743772241993</v>
      </c>
      <c r="E312">
        <v>24</v>
      </c>
      <c r="F312">
        <v>32.299999999999997</v>
      </c>
      <c r="G312">
        <v>32.299999999999997</v>
      </c>
      <c r="H312" s="7">
        <f t="shared" si="48"/>
        <v>1</v>
      </c>
      <c r="I312">
        <v>24</v>
      </c>
      <c r="J312">
        <v>33</v>
      </c>
      <c r="K312">
        <v>32</v>
      </c>
      <c r="L312" s="7">
        <f t="shared" si="49"/>
        <v>1.03125</v>
      </c>
      <c r="N312">
        <v>24</v>
      </c>
      <c r="O312">
        <v>26</v>
      </c>
      <c r="P312">
        <v>24.8</v>
      </c>
      <c r="Q312" s="7">
        <f t="shared" si="50"/>
        <v>1.0483870967741935</v>
      </c>
      <c r="R312">
        <v>24</v>
      </c>
      <c r="S312">
        <v>25.3</v>
      </c>
      <c r="T312">
        <v>25.5</v>
      </c>
      <c r="U312" s="7">
        <f t="shared" si="51"/>
        <v>0.99215686274509807</v>
      </c>
      <c r="V312">
        <v>24</v>
      </c>
      <c r="W312">
        <v>31</v>
      </c>
      <c r="X312">
        <v>32.299999999999997</v>
      </c>
      <c r="Y312" s="7">
        <f t="shared" si="52"/>
        <v>0.95975232198142424</v>
      </c>
    </row>
    <row r="313" spans="1:25" x14ac:dyDescent="0.3">
      <c r="A313">
        <v>25</v>
      </c>
      <c r="B313">
        <v>29.7</v>
      </c>
      <c r="C313">
        <v>28.7</v>
      </c>
      <c r="D313" s="7">
        <f t="shared" si="47"/>
        <v>1.0348432055749128</v>
      </c>
      <c r="E313">
        <v>25</v>
      </c>
      <c r="F313">
        <v>34.200000000000003</v>
      </c>
      <c r="G313">
        <v>30.6</v>
      </c>
      <c r="H313" s="7">
        <f t="shared" si="48"/>
        <v>1.1176470588235294</v>
      </c>
      <c r="I313">
        <v>25</v>
      </c>
      <c r="J313">
        <v>31.6</v>
      </c>
      <c r="K313">
        <v>30.9</v>
      </c>
      <c r="L313" s="7">
        <f t="shared" si="49"/>
        <v>1.022653721682848</v>
      </c>
      <c r="N313">
        <v>25</v>
      </c>
      <c r="O313">
        <v>35.299999999999997</v>
      </c>
      <c r="P313">
        <v>34</v>
      </c>
      <c r="Q313" s="7">
        <f t="shared" si="50"/>
        <v>1.0382352941176469</v>
      </c>
      <c r="R313">
        <v>25</v>
      </c>
      <c r="S313">
        <v>30.7</v>
      </c>
      <c r="T313">
        <v>31.6</v>
      </c>
      <c r="U313" s="7">
        <f t="shared" si="51"/>
        <v>0.97151898734177211</v>
      </c>
      <c r="V313">
        <v>25</v>
      </c>
      <c r="W313">
        <v>31.2</v>
      </c>
      <c r="X313">
        <v>28.8</v>
      </c>
      <c r="Y313" s="7">
        <f t="shared" si="52"/>
        <v>1.0833333333333333</v>
      </c>
    </row>
    <row r="314" spans="1:25" x14ac:dyDescent="0.3">
      <c r="A314">
        <v>26</v>
      </c>
      <c r="B314">
        <v>32.4</v>
      </c>
      <c r="C314">
        <v>29.5</v>
      </c>
      <c r="D314" s="7">
        <f t="shared" si="47"/>
        <v>1.0983050847457627</v>
      </c>
      <c r="E314">
        <v>26</v>
      </c>
      <c r="F314">
        <v>29.2</v>
      </c>
      <c r="G314">
        <v>27.9</v>
      </c>
      <c r="H314" s="7">
        <f t="shared" si="48"/>
        <v>1.0465949820788532</v>
      </c>
      <c r="I314">
        <v>26</v>
      </c>
      <c r="J314">
        <v>32.9</v>
      </c>
      <c r="K314">
        <v>31.1</v>
      </c>
      <c r="L314" s="7">
        <f t="shared" si="49"/>
        <v>1.057877813504823</v>
      </c>
      <c r="N314">
        <v>26</v>
      </c>
      <c r="O314">
        <v>31.4</v>
      </c>
      <c r="P314">
        <v>32.799999999999997</v>
      </c>
      <c r="Q314" s="7">
        <f t="shared" si="50"/>
        <v>0.95731707317073178</v>
      </c>
      <c r="R314">
        <v>26</v>
      </c>
      <c r="S314">
        <v>32.700000000000003</v>
      </c>
      <c r="T314">
        <v>34.1</v>
      </c>
      <c r="U314" s="7">
        <f t="shared" si="51"/>
        <v>0.95894428152492672</v>
      </c>
      <c r="V314">
        <v>26</v>
      </c>
      <c r="W314">
        <v>32.4</v>
      </c>
      <c r="X314">
        <v>33.200000000000003</v>
      </c>
      <c r="Y314" s="7">
        <f t="shared" si="52"/>
        <v>0.97590361445783125</v>
      </c>
    </row>
    <row r="315" spans="1:25" x14ac:dyDescent="0.3">
      <c r="A315">
        <v>27</v>
      </c>
      <c r="B315">
        <v>28.8</v>
      </c>
      <c r="C315">
        <v>28.5</v>
      </c>
      <c r="D315" s="7">
        <f t="shared" si="47"/>
        <v>1.0105263157894737</v>
      </c>
      <c r="E315">
        <v>27</v>
      </c>
      <c r="F315">
        <v>39.6</v>
      </c>
      <c r="G315">
        <v>35.200000000000003</v>
      </c>
      <c r="H315" s="7">
        <f t="shared" si="48"/>
        <v>1.125</v>
      </c>
      <c r="I315">
        <v>27</v>
      </c>
      <c r="J315">
        <v>34.200000000000003</v>
      </c>
      <c r="K315">
        <v>31.2</v>
      </c>
      <c r="L315" s="7">
        <f t="shared" si="49"/>
        <v>1.0961538461538463</v>
      </c>
      <c r="N315">
        <v>27</v>
      </c>
      <c r="O315">
        <v>32.4</v>
      </c>
      <c r="P315">
        <v>33.700000000000003</v>
      </c>
      <c r="Q315" s="7">
        <f t="shared" si="50"/>
        <v>0.96142433234421354</v>
      </c>
      <c r="R315">
        <v>27</v>
      </c>
      <c r="S315">
        <v>31.5</v>
      </c>
      <c r="T315">
        <v>31.1</v>
      </c>
      <c r="U315" s="7">
        <f t="shared" si="51"/>
        <v>1.012861736334405</v>
      </c>
      <c r="V315">
        <v>27</v>
      </c>
      <c r="W315">
        <v>35.5</v>
      </c>
      <c r="X315">
        <v>34.4</v>
      </c>
      <c r="Y315" s="7">
        <f t="shared" si="52"/>
        <v>1.0319767441860466</v>
      </c>
    </row>
    <row r="316" spans="1:25" x14ac:dyDescent="0.3">
      <c r="A316">
        <v>28</v>
      </c>
      <c r="B316">
        <v>34.9</v>
      </c>
      <c r="C316">
        <v>35.799999999999997</v>
      </c>
      <c r="D316" s="7">
        <f t="shared" si="47"/>
        <v>0.97486033519553073</v>
      </c>
      <c r="E316">
        <v>28</v>
      </c>
      <c r="F316">
        <v>38.700000000000003</v>
      </c>
      <c r="G316">
        <v>31.2</v>
      </c>
      <c r="H316" s="7">
        <f t="shared" si="48"/>
        <v>1.2403846153846154</v>
      </c>
      <c r="I316">
        <v>28</v>
      </c>
      <c r="J316">
        <v>32.1</v>
      </c>
      <c r="K316">
        <v>30.7</v>
      </c>
      <c r="L316" s="7">
        <f t="shared" si="49"/>
        <v>1.0456026058631922</v>
      </c>
      <c r="N316">
        <v>28</v>
      </c>
      <c r="O316">
        <v>32.700000000000003</v>
      </c>
      <c r="P316">
        <v>39.1</v>
      </c>
      <c r="Q316" s="7">
        <f t="shared" si="50"/>
        <v>0.83631713554987219</v>
      </c>
      <c r="R316">
        <v>28</v>
      </c>
      <c r="S316">
        <v>34.200000000000003</v>
      </c>
      <c r="T316">
        <v>31.9</v>
      </c>
      <c r="U316" s="7">
        <f t="shared" si="51"/>
        <v>1.0721003134796239</v>
      </c>
      <c r="V316">
        <v>28</v>
      </c>
      <c r="W316">
        <v>31.6</v>
      </c>
      <c r="X316">
        <v>28.5</v>
      </c>
      <c r="Y316" s="7">
        <f t="shared" si="52"/>
        <v>1.1087719298245615</v>
      </c>
    </row>
    <row r="317" spans="1:25" x14ac:dyDescent="0.3">
      <c r="A317">
        <v>29</v>
      </c>
      <c r="B317">
        <v>32</v>
      </c>
      <c r="C317">
        <v>30.4</v>
      </c>
      <c r="D317" s="7">
        <f t="shared" si="47"/>
        <v>1.0526315789473684</v>
      </c>
      <c r="E317">
        <v>29</v>
      </c>
      <c r="F317">
        <v>29.5</v>
      </c>
      <c r="G317">
        <v>27.1</v>
      </c>
      <c r="H317" s="7">
        <f t="shared" si="48"/>
        <v>1.088560885608856</v>
      </c>
      <c r="I317">
        <v>29</v>
      </c>
      <c r="J317">
        <v>28.1</v>
      </c>
      <c r="K317">
        <v>26.5</v>
      </c>
      <c r="L317" s="7">
        <f t="shared" si="49"/>
        <v>1.060377358490566</v>
      </c>
      <c r="N317">
        <v>29</v>
      </c>
      <c r="O317">
        <v>40.9</v>
      </c>
      <c r="P317">
        <v>34.5</v>
      </c>
      <c r="Q317" s="7">
        <f t="shared" si="50"/>
        <v>1.1855072463768115</v>
      </c>
      <c r="R317">
        <v>29</v>
      </c>
      <c r="S317">
        <v>34.700000000000003</v>
      </c>
      <c r="T317">
        <v>32.200000000000003</v>
      </c>
      <c r="U317" s="7">
        <f t="shared" si="51"/>
        <v>1.0776397515527951</v>
      </c>
      <c r="V317">
        <v>29</v>
      </c>
      <c r="W317">
        <v>33.9</v>
      </c>
      <c r="X317">
        <v>32.4</v>
      </c>
      <c r="Y317" s="7">
        <f t="shared" si="52"/>
        <v>1.0462962962962963</v>
      </c>
    </row>
    <row r="318" spans="1:25" x14ac:dyDescent="0.3">
      <c r="A318">
        <v>30</v>
      </c>
      <c r="B318">
        <v>31.5</v>
      </c>
      <c r="C318">
        <v>29.7</v>
      </c>
      <c r="D318" s="7">
        <f t="shared" si="47"/>
        <v>1.0606060606060606</v>
      </c>
      <c r="E318">
        <v>30</v>
      </c>
      <c r="F318">
        <v>31</v>
      </c>
      <c r="G318">
        <v>29.1</v>
      </c>
      <c r="H318" s="7">
        <f t="shared" si="48"/>
        <v>1.0652920962199313</v>
      </c>
      <c r="I318">
        <v>30</v>
      </c>
      <c r="J318">
        <v>31.4</v>
      </c>
      <c r="K318">
        <v>29.3</v>
      </c>
      <c r="L318" s="7">
        <f t="shared" si="49"/>
        <v>1.0716723549488054</v>
      </c>
      <c r="N318">
        <v>30</v>
      </c>
      <c r="O318">
        <v>30.4</v>
      </c>
      <c r="P318">
        <v>30.3</v>
      </c>
      <c r="Q318" s="7">
        <f t="shared" si="50"/>
        <v>1.0033003300330032</v>
      </c>
      <c r="R318">
        <v>30</v>
      </c>
      <c r="S318">
        <v>33</v>
      </c>
      <c r="T318">
        <v>33</v>
      </c>
      <c r="U318" s="7">
        <f t="shared" si="51"/>
        <v>1</v>
      </c>
      <c r="V318">
        <v>30</v>
      </c>
      <c r="W318">
        <v>33.700000000000003</v>
      </c>
      <c r="X318">
        <v>33</v>
      </c>
      <c r="Y318" s="7">
        <f t="shared" si="52"/>
        <v>1.0212121212121212</v>
      </c>
    </row>
    <row r="320" spans="1:25" x14ac:dyDescent="0.3">
      <c r="A320" s="23" t="s">
        <v>36</v>
      </c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N320" s="23" t="s">
        <v>37</v>
      </c>
      <c r="O320" s="23"/>
      <c r="P320" s="23"/>
      <c r="Q320" s="23"/>
      <c r="R320" s="23"/>
      <c r="S320" s="23"/>
      <c r="T320" s="23"/>
      <c r="U320" s="23"/>
      <c r="V320" s="23"/>
      <c r="W320" s="23"/>
      <c r="X320" s="23"/>
    </row>
    <row r="322" spans="1:25" x14ac:dyDescent="0.3">
      <c r="A322" s="6" t="s">
        <v>3</v>
      </c>
      <c r="E322" s="6" t="s">
        <v>2</v>
      </c>
      <c r="I322" s="6" t="s">
        <v>0</v>
      </c>
      <c r="N322" s="6" t="s">
        <v>3</v>
      </c>
      <c r="R322" s="6" t="s">
        <v>2</v>
      </c>
      <c r="V322" s="6" t="s">
        <v>0</v>
      </c>
    </row>
    <row r="323" spans="1:25" x14ac:dyDescent="0.3">
      <c r="A323" t="s">
        <v>16</v>
      </c>
      <c r="B323" t="s">
        <v>17</v>
      </c>
      <c r="C323" t="s">
        <v>18</v>
      </c>
      <c r="D323" t="s">
        <v>19</v>
      </c>
      <c r="E323" t="s">
        <v>16</v>
      </c>
      <c r="F323" t="s">
        <v>17</v>
      </c>
      <c r="G323" t="s">
        <v>18</v>
      </c>
      <c r="H323" t="s">
        <v>19</v>
      </c>
      <c r="I323" t="s">
        <v>16</v>
      </c>
      <c r="J323" t="s">
        <v>17</v>
      </c>
      <c r="K323" t="s">
        <v>18</v>
      </c>
      <c r="L323" t="s">
        <v>19</v>
      </c>
      <c r="N323" t="s">
        <v>16</v>
      </c>
      <c r="O323" t="s">
        <v>17</v>
      </c>
      <c r="P323" t="s">
        <v>18</v>
      </c>
      <c r="Q323" t="s">
        <v>19</v>
      </c>
      <c r="R323" t="s">
        <v>16</v>
      </c>
      <c r="S323" t="s">
        <v>17</v>
      </c>
      <c r="T323" t="s">
        <v>18</v>
      </c>
      <c r="U323" t="s">
        <v>19</v>
      </c>
      <c r="V323" t="s">
        <v>16</v>
      </c>
      <c r="W323" t="s">
        <v>17</v>
      </c>
      <c r="X323" t="s">
        <v>18</v>
      </c>
      <c r="Y323" t="s">
        <v>19</v>
      </c>
    </row>
    <row r="324" spans="1:25" x14ac:dyDescent="0.3">
      <c r="A324">
        <v>1</v>
      </c>
      <c r="B324">
        <v>27.8</v>
      </c>
      <c r="C324">
        <v>25.8</v>
      </c>
      <c r="D324" s="7">
        <f>B324/C324</f>
        <v>1.0775193798449612</v>
      </c>
      <c r="E324">
        <v>1</v>
      </c>
      <c r="F324">
        <v>28.4</v>
      </c>
      <c r="G324">
        <v>25.1</v>
      </c>
      <c r="H324" s="7">
        <f>F324/G324</f>
        <v>1.1314741035856573</v>
      </c>
      <c r="I324">
        <v>1</v>
      </c>
      <c r="J324">
        <v>30</v>
      </c>
      <c r="K324">
        <v>29.5</v>
      </c>
      <c r="L324" s="7">
        <f>J324/K324</f>
        <v>1.0169491525423728</v>
      </c>
      <c r="N324">
        <v>1</v>
      </c>
      <c r="O324">
        <v>31.6</v>
      </c>
      <c r="P324">
        <v>30.9</v>
      </c>
      <c r="Q324" s="7">
        <f>O324/P324</f>
        <v>1.022653721682848</v>
      </c>
      <c r="R324">
        <v>1</v>
      </c>
      <c r="S324">
        <v>25.3</v>
      </c>
      <c r="T324">
        <v>24.5</v>
      </c>
      <c r="U324" s="7">
        <f>S324/T324</f>
        <v>1.0326530612244897</v>
      </c>
      <c r="V324">
        <v>1</v>
      </c>
      <c r="W324">
        <v>28.3</v>
      </c>
      <c r="X324">
        <v>32.200000000000003</v>
      </c>
      <c r="Y324" s="7">
        <f>W324/X324</f>
        <v>0.87888198757763969</v>
      </c>
    </row>
    <row r="325" spans="1:25" x14ac:dyDescent="0.3">
      <c r="A325">
        <v>2</v>
      </c>
      <c r="B325">
        <v>30.7</v>
      </c>
      <c r="C325">
        <v>28.5</v>
      </c>
      <c r="D325" s="7">
        <f t="shared" ref="D325:D353" si="53">B325/C325</f>
        <v>1.0771929824561404</v>
      </c>
      <c r="E325">
        <v>2</v>
      </c>
      <c r="F325">
        <v>35.1</v>
      </c>
      <c r="G325">
        <v>31.9</v>
      </c>
      <c r="H325" s="7">
        <f t="shared" ref="H325:H353" si="54">F325/G325</f>
        <v>1.1003134796238245</v>
      </c>
      <c r="I325">
        <v>2</v>
      </c>
      <c r="J325">
        <v>31.5</v>
      </c>
      <c r="K325">
        <v>29.7</v>
      </c>
      <c r="L325" s="7">
        <f t="shared" ref="L325:L353" si="55">J325/K325</f>
        <v>1.0606060606060606</v>
      </c>
      <c r="N325">
        <v>2</v>
      </c>
      <c r="O325">
        <v>32.4</v>
      </c>
      <c r="P325">
        <v>35.1</v>
      </c>
      <c r="Q325" s="7">
        <f t="shared" ref="Q325:Q353" si="56">O325/P325</f>
        <v>0.92307692307692302</v>
      </c>
      <c r="R325">
        <v>2</v>
      </c>
      <c r="S325">
        <v>28.1</v>
      </c>
      <c r="T325">
        <v>26.8</v>
      </c>
      <c r="U325" s="7">
        <f t="shared" ref="U325:U353" si="57">S325/T325</f>
        <v>1.0485074626865671</v>
      </c>
      <c r="V325">
        <v>2</v>
      </c>
      <c r="W325">
        <v>33.5</v>
      </c>
      <c r="X325">
        <v>32.4</v>
      </c>
      <c r="Y325" s="7">
        <f t="shared" ref="Y325:Y353" si="58">W325/X325</f>
        <v>1.0339506172839508</v>
      </c>
    </row>
    <row r="326" spans="1:25" x14ac:dyDescent="0.3">
      <c r="A326">
        <v>3</v>
      </c>
      <c r="B326">
        <v>29.3</v>
      </c>
      <c r="C326">
        <v>24</v>
      </c>
      <c r="D326" s="7">
        <f t="shared" si="53"/>
        <v>1.2208333333333334</v>
      </c>
      <c r="E326">
        <v>3</v>
      </c>
      <c r="F326">
        <v>32.1</v>
      </c>
      <c r="G326">
        <v>29.9</v>
      </c>
      <c r="H326" s="7">
        <f t="shared" si="54"/>
        <v>1.0735785953177259</v>
      </c>
      <c r="I326">
        <v>3</v>
      </c>
      <c r="J326">
        <v>31.7</v>
      </c>
      <c r="K326">
        <v>30.3</v>
      </c>
      <c r="L326" s="7">
        <f t="shared" si="55"/>
        <v>1.0462046204620461</v>
      </c>
      <c r="N326">
        <v>3</v>
      </c>
      <c r="O326">
        <v>31.3</v>
      </c>
      <c r="P326">
        <v>31.6</v>
      </c>
      <c r="Q326" s="7">
        <f t="shared" si="56"/>
        <v>0.990506329113924</v>
      </c>
      <c r="R326">
        <v>3</v>
      </c>
      <c r="S326">
        <v>26.8</v>
      </c>
      <c r="T326">
        <v>27.7</v>
      </c>
      <c r="U326" s="7">
        <f t="shared" si="57"/>
        <v>0.96750902527075822</v>
      </c>
      <c r="V326">
        <v>3</v>
      </c>
      <c r="W326">
        <v>28.5</v>
      </c>
      <c r="X326">
        <v>26.1</v>
      </c>
      <c r="Y326" s="7">
        <f t="shared" si="58"/>
        <v>1.0919540229885056</v>
      </c>
    </row>
    <row r="327" spans="1:25" x14ac:dyDescent="0.3">
      <c r="A327">
        <v>4</v>
      </c>
      <c r="B327">
        <v>29.4</v>
      </c>
      <c r="C327">
        <v>25.7</v>
      </c>
      <c r="D327" s="7">
        <f t="shared" si="53"/>
        <v>1.1439688715953307</v>
      </c>
      <c r="E327">
        <v>4</v>
      </c>
      <c r="F327">
        <v>26.8</v>
      </c>
      <c r="G327">
        <v>26.5</v>
      </c>
      <c r="H327" s="7">
        <f t="shared" si="54"/>
        <v>1.0113207547169811</v>
      </c>
      <c r="I327">
        <v>4</v>
      </c>
      <c r="J327">
        <v>31.8</v>
      </c>
      <c r="K327">
        <v>29.4</v>
      </c>
      <c r="L327" s="7">
        <f t="shared" si="55"/>
        <v>1.0816326530612246</v>
      </c>
      <c r="N327">
        <v>4</v>
      </c>
      <c r="O327">
        <v>33.1</v>
      </c>
      <c r="P327">
        <v>29.9</v>
      </c>
      <c r="Q327" s="7">
        <f t="shared" si="56"/>
        <v>1.1070234113712376</v>
      </c>
      <c r="R327">
        <v>4</v>
      </c>
      <c r="S327">
        <v>34.5</v>
      </c>
      <c r="T327">
        <v>32.700000000000003</v>
      </c>
      <c r="U327" s="7">
        <f t="shared" si="57"/>
        <v>1.0550458715596329</v>
      </c>
      <c r="V327">
        <v>4</v>
      </c>
      <c r="W327">
        <v>27.6</v>
      </c>
      <c r="X327">
        <v>25.3</v>
      </c>
      <c r="Y327" s="7">
        <f t="shared" si="58"/>
        <v>1.0909090909090908</v>
      </c>
    </row>
    <row r="328" spans="1:25" x14ac:dyDescent="0.3">
      <c r="A328">
        <v>5</v>
      </c>
      <c r="B328">
        <v>29.1</v>
      </c>
      <c r="C328">
        <v>27</v>
      </c>
      <c r="D328" s="7">
        <f t="shared" si="53"/>
        <v>1.0777777777777777</v>
      </c>
      <c r="E328">
        <v>5</v>
      </c>
      <c r="F328">
        <v>29.7</v>
      </c>
      <c r="G328">
        <v>27.8</v>
      </c>
      <c r="H328" s="7">
        <f t="shared" si="54"/>
        <v>1.0683453237410072</v>
      </c>
      <c r="I328">
        <v>5</v>
      </c>
      <c r="J328">
        <v>30.5</v>
      </c>
      <c r="K328">
        <v>28.1</v>
      </c>
      <c r="L328" s="7">
        <f t="shared" si="55"/>
        <v>1.0854092526690391</v>
      </c>
      <c r="N328">
        <v>5</v>
      </c>
      <c r="O328">
        <v>30</v>
      </c>
      <c r="P328">
        <v>26.9</v>
      </c>
      <c r="Q328" s="7">
        <f t="shared" si="56"/>
        <v>1.1152416356877324</v>
      </c>
      <c r="R328">
        <v>5</v>
      </c>
      <c r="S328">
        <v>35</v>
      </c>
      <c r="T328">
        <v>33.4</v>
      </c>
      <c r="U328" s="7">
        <f t="shared" si="57"/>
        <v>1.0479041916167664</v>
      </c>
      <c r="V328">
        <v>5</v>
      </c>
      <c r="W328">
        <v>32.1</v>
      </c>
      <c r="X328">
        <v>29.8</v>
      </c>
      <c r="Y328" s="7">
        <f t="shared" si="58"/>
        <v>1.0771812080536913</v>
      </c>
    </row>
    <row r="329" spans="1:25" x14ac:dyDescent="0.3">
      <c r="A329">
        <v>6</v>
      </c>
      <c r="B329">
        <v>27</v>
      </c>
      <c r="C329">
        <v>25</v>
      </c>
      <c r="D329" s="7">
        <f t="shared" si="53"/>
        <v>1.08</v>
      </c>
      <c r="E329">
        <v>6</v>
      </c>
      <c r="F329">
        <v>30.7</v>
      </c>
      <c r="G329">
        <v>28.3</v>
      </c>
      <c r="H329" s="7">
        <f t="shared" si="54"/>
        <v>1.0848056537102473</v>
      </c>
      <c r="I329">
        <v>6</v>
      </c>
      <c r="J329">
        <v>31.4</v>
      </c>
      <c r="K329">
        <v>26.6</v>
      </c>
      <c r="L329" s="7">
        <f t="shared" si="55"/>
        <v>1.1804511278195489</v>
      </c>
      <c r="N329">
        <v>6</v>
      </c>
      <c r="O329">
        <v>31.3</v>
      </c>
      <c r="P329">
        <v>32.4</v>
      </c>
      <c r="Q329" s="7">
        <f t="shared" si="56"/>
        <v>0.96604938271604945</v>
      </c>
      <c r="R329">
        <v>6</v>
      </c>
      <c r="S329">
        <v>32.5</v>
      </c>
      <c r="T329">
        <v>31.8</v>
      </c>
      <c r="U329" s="7">
        <f t="shared" si="57"/>
        <v>1.0220125786163521</v>
      </c>
      <c r="V329">
        <v>6</v>
      </c>
      <c r="W329">
        <v>28.8</v>
      </c>
      <c r="X329">
        <v>29.7</v>
      </c>
      <c r="Y329" s="7">
        <f t="shared" si="58"/>
        <v>0.96969696969696972</v>
      </c>
    </row>
    <row r="330" spans="1:25" x14ac:dyDescent="0.3">
      <c r="A330">
        <v>7</v>
      </c>
      <c r="B330">
        <v>31</v>
      </c>
      <c r="C330">
        <v>27.9</v>
      </c>
      <c r="D330" s="7">
        <f t="shared" si="53"/>
        <v>1.1111111111111112</v>
      </c>
      <c r="E330">
        <v>7</v>
      </c>
      <c r="F330">
        <v>34</v>
      </c>
      <c r="G330">
        <v>29.7</v>
      </c>
      <c r="H330" s="7">
        <f t="shared" si="54"/>
        <v>1.1447811447811449</v>
      </c>
      <c r="I330">
        <v>7</v>
      </c>
      <c r="J330">
        <v>28.5</v>
      </c>
      <c r="K330">
        <v>25.3</v>
      </c>
      <c r="L330" s="7">
        <f t="shared" si="55"/>
        <v>1.1264822134387351</v>
      </c>
      <c r="N330">
        <v>7</v>
      </c>
      <c r="O330">
        <v>29.8</v>
      </c>
      <c r="P330">
        <v>27.3</v>
      </c>
      <c r="Q330" s="7">
        <f t="shared" si="56"/>
        <v>1.0915750915750915</v>
      </c>
      <c r="R330">
        <v>7</v>
      </c>
      <c r="S330">
        <v>28.5</v>
      </c>
      <c r="T330">
        <v>26.5</v>
      </c>
      <c r="U330" s="7">
        <f t="shared" si="57"/>
        <v>1.0754716981132075</v>
      </c>
      <c r="V330">
        <v>7</v>
      </c>
      <c r="W330">
        <v>32.9</v>
      </c>
      <c r="X330">
        <v>32.799999999999997</v>
      </c>
      <c r="Y330" s="7">
        <f t="shared" si="58"/>
        <v>1.003048780487805</v>
      </c>
    </row>
    <row r="331" spans="1:25" x14ac:dyDescent="0.3">
      <c r="A331">
        <v>8</v>
      </c>
      <c r="B331">
        <v>32.5</v>
      </c>
      <c r="C331">
        <v>32.299999999999997</v>
      </c>
      <c r="D331" s="7">
        <f t="shared" si="53"/>
        <v>1.0061919504643964</v>
      </c>
      <c r="E331">
        <v>8</v>
      </c>
      <c r="F331">
        <v>31.4</v>
      </c>
      <c r="G331">
        <v>29.5</v>
      </c>
      <c r="H331" s="7">
        <f t="shared" si="54"/>
        <v>1.0644067796610168</v>
      </c>
      <c r="I331">
        <v>8</v>
      </c>
      <c r="J331">
        <v>33.5</v>
      </c>
      <c r="K331">
        <v>31.7</v>
      </c>
      <c r="L331" s="7">
        <f t="shared" si="55"/>
        <v>1.0567823343848581</v>
      </c>
      <c r="N331">
        <v>8</v>
      </c>
      <c r="O331">
        <v>32.799999999999997</v>
      </c>
      <c r="P331">
        <v>32.1</v>
      </c>
      <c r="Q331" s="7">
        <f t="shared" si="56"/>
        <v>1.0218068535825544</v>
      </c>
      <c r="R331">
        <v>8</v>
      </c>
      <c r="S331">
        <v>26</v>
      </c>
      <c r="T331">
        <v>25.5</v>
      </c>
      <c r="U331" s="7">
        <f t="shared" si="57"/>
        <v>1.0196078431372548</v>
      </c>
      <c r="V331">
        <v>8</v>
      </c>
      <c r="W331">
        <v>31.6</v>
      </c>
      <c r="X331">
        <v>30.3</v>
      </c>
      <c r="Y331" s="7">
        <f t="shared" si="58"/>
        <v>1.0429042904290429</v>
      </c>
    </row>
    <row r="332" spans="1:25" x14ac:dyDescent="0.3">
      <c r="A332">
        <v>9</v>
      </c>
      <c r="B332">
        <v>33.9</v>
      </c>
      <c r="C332">
        <v>29.4</v>
      </c>
      <c r="D332" s="7">
        <f t="shared" si="53"/>
        <v>1.153061224489796</v>
      </c>
      <c r="E332">
        <v>9</v>
      </c>
      <c r="F332">
        <v>32.799999999999997</v>
      </c>
      <c r="G332">
        <v>30.6</v>
      </c>
      <c r="H332" s="7">
        <f t="shared" si="54"/>
        <v>1.0718954248366013</v>
      </c>
      <c r="I332">
        <v>9</v>
      </c>
      <c r="J332">
        <v>25.1</v>
      </c>
      <c r="K332">
        <v>26.8</v>
      </c>
      <c r="L332" s="7">
        <f t="shared" si="55"/>
        <v>0.93656716417910446</v>
      </c>
      <c r="N332">
        <v>9</v>
      </c>
      <c r="O332">
        <v>29</v>
      </c>
      <c r="P332">
        <v>29.9</v>
      </c>
      <c r="Q332" s="7">
        <f t="shared" si="56"/>
        <v>0.96989966555183948</v>
      </c>
      <c r="R332">
        <v>9</v>
      </c>
      <c r="S332">
        <v>32.299999999999997</v>
      </c>
      <c r="T332">
        <v>30.4</v>
      </c>
      <c r="U332" s="7">
        <f t="shared" si="57"/>
        <v>1.0625</v>
      </c>
      <c r="V332">
        <v>9</v>
      </c>
      <c r="W332">
        <v>26.7</v>
      </c>
      <c r="X332">
        <v>24.9</v>
      </c>
      <c r="Y332" s="7">
        <f t="shared" si="58"/>
        <v>1.072289156626506</v>
      </c>
    </row>
    <row r="333" spans="1:25" x14ac:dyDescent="0.3">
      <c r="A333">
        <v>10</v>
      </c>
      <c r="B333">
        <v>32</v>
      </c>
      <c r="C333">
        <v>30.6</v>
      </c>
      <c r="D333" s="7">
        <f t="shared" si="53"/>
        <v>1.0457516339869282</v>
      </c>
      <c r="E333">
        <v>10</v>
      </c>
      <c r="F333">
        <v>31.6</v>
      </c>
      <c r="G333">
        <v>28.4</v>
      </c>
      <c r="H333" s="7">
        <f t="shared" si="54"/>
        <v>1.1126760563380282</v>
      </c>
      <c r="I333">
        <v>10</v>
      </c>
      <c r="J333">
        <v>29.6</v>
      </c>
      <c r="K333">
        <v>28.7</v>
      </c>
      <c r="L333" s="7">
        <f t="shared" si="55"/>
        <v>1.0313588850174216</v>
      </c>
      <c r="N333">
        <v>10</v>
      </c>
      <c r="O333">
        <v>30.6</v>
      </c>
      <c r="P333">
        <v>30.1</v>
      </c>
      <c r="Q333" s="7">
        <f t="shared" si="56"/>
        <v>1.0166112956810631</v>
      </c>
      <c r="R333">
        <v>10</v>
      </c>
      <c r="S333">
        <v>29.3</v>
      </c>
      <c r="T333">
        <v>27.1</v>
      </c>
      <c r="U333" s="7">
        <f t="shared" si="57"/>
        <v>1.0811808118081181</v>
      </c>
      <c r="V333">
        <v>10</v>
      </c>
      <c r="W333">
        <v>29.8</v>
      </c>
      <c r="X333">
        <v>28.7</v>
      </c>
      <c r="Y333" s="7">
        <f t="shared" si="58"/>
        <v>1.0383275261324043</v>
      </c>
    </row>
    <row r="334" spans="1:25" x14ac:dyDescent="0.3">
      <c r="A334">
        <v>11</v>
      </c>
      <c r="B334">
        <v>30.4</v>
      </c>
      <c r="C334">
        <v>28.2</v>
      </c>
      <c r="D334" s="7">
        <f t="shared" si="53"/>
        <v>1.0780141843971631</v>
      </c>
      <c r="E334">
        <v>11</v>
      </c>
      <c r="F334">
        <v>30.8</v>
      </c>
      <c r="G334">
        <v>30.3</v>
      </c>
      <c r="H334" s="7">
        <f t="shared" si="54"/>
        <v>1.0165016501650166</v>
      </c>
      <c r="I334">
        <v>11</v>
      </c>
      <c r="J334">
        <v>30.9</v>
      </c>
      <c r="K334">
        <v>28.1</v>
      </c>
      <c r="L334" s="7">
        <f t="shared" si="55"/>
        <v>1.0996441281138789</v>
      </c>
      <c r="N334">
        <v>11</v>
      </c>
      <c r="O334">
        <v>28.5</v>
      </c>
      <c r="P334">
        <v>26.7</v>
      </c>
      <c r="Q334" s="7">
        <f t="shared" si="56"/>
        <v>1.0674157303370786</v>
      </c>
      <c r="R334">
        <v>11</v>
      </c>
      <c r="S334">
        <v>27.5</v>
      </c>
      <c r="T334">
        <v>25.6</v>
      </c>
      <c r="U334" s="7">
        <f t="shared" si="57"/>
        <v>1.07421875</v>
      </c>
      <c r="V334">
        <v>11</v>
      </c>
      <c r="W334">
        <v>31.7</v>
      </c>
      <c r="X334">
        <v>31.3</v>
      </c>
      <c r="Y334" s="7">
        <f t="shared" si="58"/>
        <v>1.0127795527156549</v>
      </c>
    </row>
    <row r="335" spans="1:25" x14ac:dyDescent="0.3">
      <c r="A335">
        <v>12</v>
      </c>
      <c r="B335">
        <v>31.7</v>
      </c>
      <c r="C335">
        <v>29.5</v>
      </c>
      <c r="D335" s="7">
        <f t="shared" si="53"/>
        <v>1.0745762711864406</v>
      </c>
      <c r="E335">
        <v>12</v>
      </c>
      <c r="F335">
        <v>31</v>
      </c>
      <c r="G335">
        <v>29.1</v>
      </c>
      <c r="H335" s="7">
        <f t="shared" si="54"/>
        <v>1.0652920962199313</v>
      </c>
      <c r="I335">
        <v>12</v>
      </c>
      <c r="J335">
        <v>32.4</v>
      </c>
      <c r="K335">
        <v>28.1</v>
      </c>
      <c r="L335" s="7">
        <f t="shared" si="55"/>
        <v>1.1530249110320283</v>
      </c>
      <c r="N335">
        <v>12</v>
      </c>
      <c r="O335">
        <v>28.5</v>
      </c>
      <c r="P335">
        <v>27.8</v>
      </c>
      <c r="Q335" s="7">
        <f t="shared" si="56"/>
        <v>1.025179856115108</v>
      </c>
      <c r="R335">
        <v>12</v>
      </c>
      <c r="S335">
        <v>33.5</v>
      </c>
      <c r="T335">
        <v>33.1</v>
      </c>
      <c r="U335" s="7">
        <f t="shared" si="57"/>
        <v>1.012084592145015</v>
      </c>
      <c r="V335">
        <v>12</v>
      </c>
      <c r="W335">
        <v>32.799999999999997</v>
      </c>
      <c r="X335">
        <v>33</v>
      </c>
      <c r="Y335" s="7">
        <f t="shared" si="58"/>
        <v>0.9939393939393939</v>
      </c>
    </row>
    <row r="336" spans="1:25" x14ac:dyDescent="0.3">
      <c r="A336">
        <v>13</v>
      </c>
      <c r="B336">
        <v>28.2</v>
      </c>
      <c r="C336">
        <v>27.8</v>
      </c>
      <c r="D336" s="7">
        <f t="shared" si="53"/>
        <v>1.014388489208633</v>
      </c>
      <c r="E336">
        <v>13</v>
      </c>
      <c r="F336">
        <v>28.3</v>
      </c>
      <c r="G336">
        <v>26.3</v>
      </c>
      <c r="H336" s="7">
        <f t="shared" si="54"/>
        <v>1.0760456273764258</v>
      </c>
      <c r="I336">
        <v>13</v>
      </c>
      <c r="J336">
        <v>31.6</v>
      </c>
      <c r="K336">
        <v>30.3</v>
      </c>
      <c r="L336" s="7">
        <f t="shared" si="55"/>
        <v>1.0429042904290429</v>
      </c>
      <c r="N336">
        <v>13</v>
      </c>
      <c r="O336">
        <v>30.3</v>
      </c>
      <c r="P336">
        <v>30.5</v>
      </c>
      <c r="Q336" s="7">
        <f t="shared" si="56"/>
        <v>0.99344262295081964</v>
      </c>
      <c r="R336">
        <v>13</v>
      </c>
      <c r="S336">
        <v>30.8</v>
      </c>
      <c r="T336">
        <v>31.9</v>
      </c>
      <c r="U336" s="7">
        <f t="shared" si="57"/>
        <v>0.96551724137931039</v>
      </c>
      <c r="V336">
        <v>13</v>
      </c>
      <c r="W336">
        <v>31.9</v>
      </c>
      <c r="X336">
        <v>30.3</v>
      </c>
      <c r="Y336" s="7">
        <f t="shared" si="58"/>
        <v>1.0528052805280528</v>
      </c>
    </row>
    <row r="337" spans="1:25" x14ac:dyDescent="0.3">
      <c r="A337">
        <v>14</v>
      </c>
      <c r="B337">
        <v>29.9</v>
      </c>
      <c r="C337">
        <v>26.6</v>
      </c>
      <c r="D337" s="7">
        <f t="shared" si="53"/>
        <v>1.1240601503759398</v>
      </c>
      <c r="E337">
        <v>14</v>
      </c>
      <c r="F337">
        <v>30.7</v>
      </c>
      <c r="G337">
        <v>31</v>
      </c>
      <c r="H337" s="7">
        <f t="shared" si="54"/>
        <v>0.99032258064516132</v>
      </c>
      <c r="I337">
        <v>14</v>
      </c>
      <c r="J337">
        <v>32.200000000000003</v>
      </c>
      <c r="K337">
        <v>30.5</v>
      </c>
      <c r="L337" s="7">
        <f t="shared" si="55"/>
        <v>1.055737704918033</v>
      </c>
      <c r="N337">
        <v>14</v>
      </c>
      <c r="O337">
        <v>28.3</v>
      </c>
      <c r="P337">
        <v>25.3</v>
      </c>
      <c r="Q337" s="7">
        <f t="shared" si="56"/>
        <v>1.1185770750988142</v>
      </c>
      <c r="R337">
        <v>14</v>
      </c>
      <c r="S337">
        <v>30.1</v>
      </c>
      <c r="T337">
        <v>28.3</v>
      </c>
      <c r="U337" s="7">
        <f t="shared" si="57"/>
        <v>1.0636042402826855</v>
      </c>
      <c r="V337">
        <v>14</v>
      </c>
      <c r="W337">
        <v>33.5</v>
      </c>
      <c r="X337">
        <v>30.3</v>
      </c>
      <c r="Y337" s="7">
        <f t="shared" si="58"/>
        <v>1.1056105610561056</v>
      </c>
    </row>
    <row r="338" spans="1:25" x14ac:dyDescent="0.3">
      <c r="A338">
        <v>15</v>
      </c>
      <c r="B338">
        <v>26.6</v>
      </c>
      <c r="C338">
        <v>24.8</v>
      </c>
      <c r="D338" s="7">
        <f t="shared" si="53"/>
        <v>1.0725806451612903</v>
      </c>
      <c r="E338">
        <v>15</v>
      </c>
      <c r="F338">
        <v>34.799999999999997</v>
      </c>
      <c r="G338">
        <v>31.2</v>
      </c>
      <c r="H338" s="7">
        <f t="shared" si="54"/>
        <v>1.1153846153846154</v>
      </c>
      <c r="I338">
        <v>15</v>
      </c>
      <c r="J338">
        <v>28.9</v>
      </c>
      <c r="K338">
        <v>27.8</v>
      </c>
      <c r="L338" s="7">
        <f t="shared" si="55"/>
        <v>1.039568345323741</v>
      </c>
      <c r="N338">
        <v>15</v>
      </c>
      <c r="O338">
        <v>27.9</v>
      </c>
      <c r="P338">
        <v>27.1</v>
      </c>
      <c r="Q338" s="7">
        <f t="shared" si="56"/>
        <v>1.0295202952029519</v>
      </c>
      <c r="R338">
        <v>15</v>
      </c>
      <c r="S338">
        <v>31.6</v>
      </c>
      <c r="T338">
        <v>34.200000000000003</v>
      </c>
      <c r="U338" s="7">
        <f t="shared" si="57"/>
        <v>0.92397660818713445</v>
      </c>
      <c r="V338">
        <v>15</v>
      </c>
      <c r="W338">
        <v>27.8</v>
      </c>
      <c r="X338">
        <v>26.6</v>
      </c>
      <c r="Y338" s="7">
        <f t="shared" si="58"/>
        <v>1.0451127819548871</v>
      </c>
    </row>
    <row r="339" spans="1:25" x14ac:dyDescent="0.3">
      <c r="A339">
        <v>16</v>
      </c>
      <c r="B339">
        <v>30.2</v>
      </c>
      <c r="C339">
        <v>27.8</v>
      </c>
      <c r="D339" s="7">
        <f t="shared" si="53"/>
        <v>1.0863309352517985</v>
      </c>
      <c r="E339">
        <v>16</v>
      </c>
      <c r="F339">
        <v>31.4</v>
      </c>
      <c r="G339">
        <v>27</v>
      </c>
      <c r="H339" s="7">
        <f t="shared" si="54"/>
        <v>1.162962962962963</v>
      </c>
      <c r="I339">
        <v>16</v>
      </c>
      <c r="J339">
        <v>33.700000000000003</v>
      </c>
      <c r="K339">
        <v>32.799999999999997</v>
      </c>
      <c r="L339" s="7">
        <f t="shared" si="55"/>
        <v>1.027439024390244</v>
      </c>
      <c r="N339">
        <v>16</v>
      </c>
      <c r="O339">
        <v>29.9</v>
      </c>
      <c r="P339">
        <v>31.2</v>
      </c>
      <c r="Q339" s="7">
        <f t="shared" si="56"/>
        <v>0.95833333333333326</v>
      </c>
      <c r="R339">
        <v>16</v>
      </c>
      <c r="S339">
        <v>34.799999999999997</v>
      </c>
      <c r="T339">
        <v>32.6</v>
      </c>
      <c r="U339" s="7">
        <f t="shared" si="57"/>
        <v>1.0674846625766869</v>
      </c>
      <c r="V339">
        <v>16</v>
      </c>
      <c r="W339">
        <v>32.1</v>
      </c>
      <c r="X339">
        <v>32</v>
      </c>
      <c r="Y339" s="7">
        <f t="shared" si="58"/>
        <v>1.003125</v>
      </c>
    </row>
    <row r="340" spans="1:25" x14ac:dyDescent="0.3">
      <c r="A340">
        <v>17</v>
      </c>
      <c r="B340">
        <v>29</v>
      </c>
      <c r="C340">
        <v>26.6</v>
      </c>
      <c r="D340" s="7">
        <f t="shared" si="53"/>
        <v>1.0902255639097744</v>
      </c>
      <c r="E340">
        <v>17</v>
      </c>
      <c r="F340">
        <v>27.8</v>
      </c>
      <c r="G340">
        <v>28.8</v>
      </c>
      <c r="H340" s="7">
        <f t="shared" si="54"/>
        <v>0.96527777777777779</v>
      </c>
      <c r="I340">
        <v>17</v>
      </c>
      <c r="J340">
        <v>30.2</v>
      </c>
      <c r="K340">
        <v>27.7</v>
      </c>
      <c r="L340" s="7">
        <f t="shared" si="55"/>
        <v>1.0902527075812274</v>
      </c>
      <c r="N340">
        <v>17</v>
      </c>
      <c r="O340">
        <v>32.299999999999997</v>
      </c>
      <c r="P340">
        <v>31.8</v>
      </c>
      <c r="Q340" s="7">
        <f t="shared" si="56"/>
        <v>1.0157232704402515</v>
      </c>
      <c r="R340">
        <v>17</v>
      </c>
      <c r="S340">
        <v>32.799999999999997</v>
      </c>
      <c r="T340">
        <v>31.3</v>
      </c>
      <c r="U340" s="7">
        <f t="shared" si="57"/>
        <v>1.0479233226837059</v>
      </c>
      <c r="V340">
        <v>17</v>
      </c>
      <c r="W340">
        <v>27.1</v>
      </c>
      <c r="X340">
        <v>22.6</v>
      </c>
      <c r="Y340" s="7">
        <f t="shared" si="58"/>
        <v>1.1991150442477876</v>
      </c>
    </row>
    <row r="341" spans="1:25" x14ac:dyDescent="0.3">
      <c r="A341">
        <v>18</v>
      </c>
      <c r="B341">
        <v>28.3</v>
      </c>
      <c r="C341">
        <v>23.5</v>
      </c>
      <c r="D341" s="7">
        <f t="shared" si="53"/>
        <v>1.2042553191489362</v>
      </c>
      <c r="E341">
        <v>18</v>
      </c>
      <c r="F341">
        <v>26.8</v>
      </c>
      <c r="G341">
        <v>25.8</v>
      </c>
      <c r="H341" s="7">
        <f t="shared" si="54"/>
        <v>1.0387596899224807</v>
      </c>
      <c r="I341">
        <v>18</v>
      </c>
      <c r="J341">
        <v>29.8</v>
      </c>
      <c r="K341">
        <v>26.6</v>
      </c>
      <c r="L341" s="7">
        <f t="shared" si="55"/>
        <v>1.1203007518796992</v>
      </c>
      <c r="N341">
        <v>18</v>
      </c>
      <c r="O341">
        <v>24.6</v>
      </c>
      <c r="P341">
        <v>22.3</v>
      </c>
      <c r="Q341" s="7">
        <f t="shared" si="56"/>
        <v>1.1031390134529149</v>
      </c>
      <c r="R341">
        <v>18</v>
      </c>
      <c r="S341">
        <v>31.9</v>
      </c>
      <c r="T341">
        <v>30.7</v>
      </c>
      <c r="U341" s="7">
        <f t="shared" si="57"/>
        <v>1.0390879478827362</v>
      </c>
      <c r="V341">
        <v>18</v>
      </c>
      <c r="W341">
        <v>33</v>
      </c>
      <c r="X341">
        <v>33.9</v>
      </c>
      <c r="Y341" s="7">
        <f t="shared" si="58"/>
        <v>0.97345132743362839</v>
      </c>
    </row>
    <row r="342" spans="1:25" x14ac:dyDescent="0.3">
      <c r="A342">
        <v>19</v>
      </c>
      <c r="B342">
        <v>28.3</v>
      </c>
      <c r="C342">
        <v>25.9</v>
      </c>
      <c r="D342" s="7">
        <f t="shared" si="53"/>
        <v>1.0926640926640927</v>
      </c>
      <c r="E342">
        <v>19</v>
      </c>
      <c r="F342">
        <v>29.3</v>
      </c>
      <c r="G342">
        <v>28.1</v>
      </c>
      <c r="H342" s="7">
        <f t="shared" si="54"/>
        <v>1.0427046263345194</v>
      </c>
      <c r="I342">
        <v>19</v>
      </c>
      <c r="J342">
        <v>32</v>
      </c>
      <c r="K342">
        <v>30.7</v>
      </c>
      <c r="L342" s="7">
        <f t="shared" si="55"/>
        <v>1.0423452768729642</v>
      </c>
      <c r="N342">
        <v>19</v>
      </c>
      <c r="O342">
        <v>29.5</v>
      </c>
      <c r="P342">
        <v>33.9</v>
      </c>
      <c r="Q342" s="7">
        <f t="shared" si="56"/>
        <v>0.87020648967551628</v>
      </c>
      <c r="R342">
        <v>19</v>
      </c>
      <c r="S342">
        <v>33.799999999999997</v>
      </c>
      <c r="T342">
        <v>32.9</v>
      </c>
      <c r="U342" s="7">
        <f t="shared" si="57"/>
        <v>1.0273556231003038</v>
      </c>
      <c r="V342">
        <v>19</v>
      </c>
      <c r="W342">
        <v>32.5</v>
      </c>
      <c r="X342">
        <v>33.700000000000003</v>
      </c>
      <c r="Y342" s="7">
        <f t="shared" si="58"/>
        <v>0.96439169139465863</v>
      </c>
    </row>
    <row r="343" spans="1:25" x14ac:dyDescent="0.3">
      <c r="A343">
        <v>20</v>
      </c>
      <c r="B343">
        <v>30.2</v>
      </c>
      <c r="C343">
        <v>29.5</v>
      </c>
      <c r="D343" s="7">
        <f t="shared" si="53"/>
        <v>1.0237288135593221</v>
      </c>
      <c r="E343">
        <v>20</v>
      </c>
      <c r="F343">
        <v>31.2</v>
      </c>
      <c r="G343">
        <v>26.3</v>
      </c>
      <c r="H343" s="7">
        <f t="shared" si="54"/>
        <v>1.1863117870722433</v>
      </c>
      <c r="I343">
        <v>20</v>
      </c>
      <c r="J343">
        <v>30.4</v>
      </c>
      <c r="K343">
        <v>28.1</v>
      </c>
      <c r="L343" s="7">
        <f t="shared" si="55"/>
        <v>1.081850533807829</v>
      </c>
      <c r="N343">
        <v>20</v>
      </c>
      <c r="O343">
        <v>34.5</v>
      </c>
      <c r="P343">
        <v>33.700000000000003</v>
      </c>
      <c r="Q343" s="7">
        <f t="shared" si="56"/>
        <v>1.0237388724035608</v>
      </c>
      <c r="R343">
        <v>20</v>
      </c>
      <c r="S343">
        <v>28.7</v>
      </c>
      <c r="T343">
        <v>31.1</v>
      </c>
      <c r="U343" s="7">
        <f t="shared" si="57"/>
        <v>0.92282958199356901</v>
      </c>
      <c r="V343">
        <v>20</v>
      </c>
      <c r="W343">
        <v>32.9</v>
      </c>
      <c r="X343">
        <v>34.9</v>
      </c>
      <c r="Y343" s="7">
        <f t="shared" si="58"/>
        <v>0.94269340974212035</v>
      </c>
    </row>
    <row r="344" spans="1:25" x14ac:dyDescent="0.3">
      <c r="A344">
        <v>21</v>
      </c>
      <c r="B344">
        <v>32.200000000000003</v>
      </c>
      <c r="C344">
        <v>28.8</v>
      </c>
      <c r="D344" s="7">
        <f t="shared" si="53"/>
        <v>1.1180555555555556</v>
      </c>
      <c r="E344">
        <v>21</v>
      </c>
      <c r="F344">
        <v>36.6</v>
      </c>
      <c r="G344">
        <v>31.9</v>
      </c>
      <c r="H344" s="7">
        <f t="shared" si="54"/>
        <v>1.1473354231974922</v>
      </c>
      <c r="I344">
        <v>21</v>
      </c>
      <c r="J344">
        <v>36.1</v>
      </c>
      <c r="K344">
        <v>33</v>
      </c>
      <c r="L344" s="7">
        <f t="shared" si="55"/>
        <v>1.093939393939394</v>
      </c>
      <c r="N344">
        <v>21</v>
      </c>
      <c r="O344">
        <v>30</v>
      </c>
      <c r="P344">
        <v>27.8</v>
      </c>
      <c r="Q344" s="7">
        <f t="shared" si="56"/>
        <v>1.079136690647482</v>
      </c>
      <c r="R344">
        <v>21</v>
      </c>
      <c r="S344">
        <v>29.3</v>
      </c>
      <c r="T344">
        <v>26.9</v>
      </c>
      <c r="U344" s="7">
        <f t="shared" si="57"/>
        <v>1.0892193308550187</v>
      </c>
      <c r="V344">
        <v>21</v>
      </c>
      <c r="W344">
        <v>30.5</v>
      </c>
      <c r="X344">
        <v>29.1</v>
      </c>
      <c r="Y344" s="7">
        <f t="shared" si="58"/>
        <v>1.0481099656357389</v>
      </c>
    </row>
    <row r="345" spans="1:25" x14ac:dyDescent="0.3">
      <c r="A345">
        <v>22</v>
      </c>
      <c r="B345">
        <v>33.6</v>
      </c>
      <c r="C345">
        <v>32.6</v>
      </c>
      <c r="D345" s="7">
        <f t="shared" si="53"/>
        <v>1.0306748466257669</v>
      </c>
      <c r="E345">
        <v>22</v>
      </c>
      <c r="F345">
        <v>29.9</v>
      </c>
      <c r="G345">
        <v>28.2</v>
      </c>
      <c r="H345" s="7">
        <f t="shared" si="54"/>
        <v>1.0602836879432624</v>
      </c>
      <c r="I345">
        <v>22</v>
      </c>
      <c r="J345">
        <v>30.4</v>
      </c>
      <c r="K345">
        <v>29.7</v>
      </c>
      <c r="L345" s="7">
        <f t="shared" si="55"/>
        <v>1.0235690235690236</v>
      </c>
      <c r="N345">
        <v>22</v>
      </c>
      <c r="O345">
        <v>26.2</v>
      </c>
      <c r="P345">
        <v>27</v>
      </c>
      <c r="Q345" s="7">
        <f t="shared" si="56"/>
        <v>0.97037037037037033</v>
      </c>
      <c r="R345">
        <v>22</v>
      </c>
      <c r="S345">
        <v>32.6</v>
      </c>
      <c r="T345">
        <v>32.700000000000003</v>
      </c>
      <c r="U345" s="7">
        <f t="shared" si="57"/>
        <v>0.99694189602446481</v>
      </c>
      <c r="V345">
        <v>22</v>
      </c>
      <c r="W345">
        <v>33.200000000000003</v>
      </c>
      <c r="X345">
        <v>31.4</v>
      </c>
      <c r="Y345" s="7">
        <f t="shared" si="58"/>
        <v>1.0573248407643314</v>
      </c>
    </row>
    <row r="346" spans="1:25" x14ac:dyDescent="0.3">
      <c r="A346">
        <v>23</v>
      </c>
      <c r="B346">
        <v>32</v>
      </c>
      <c r="C346">
        <v>27.7</v>
      </c>
      <c r="D346" s="7">
        <f t="shared" si="53"/>
        <v>1.1552346570397112</v>
      </c>
      <c r="E346">
        <v>23</v>
      </c>
      <c r="F346">
        <v>31.9</v>
      </c>
      <c r="G346">
        <v>27.3</v>
      </c>
      <c r="H346" s="7">
        <f t="shared" si="54"/>
        <v>1.1684981684981683</v>
      </c>
      <c r="I346">
        <v>23</v>
      </c>
      <c r="J346">
        <v>34.200000000000003</v>
      </c>
      <c r="K346">
        <v>33.6</v>
      </c>
      <c r="L346" s="7">
        <f t="shared" si="55"/>
        <v>1.0178571428571428</v>
      </c>
      <c r="N346">
        <v>23</v>
      </c>
      <c r="O346">
        <v>31.4</v>
      </c>
      <c r="P346">
        <v>31.9</v>
      </c>
      <c r="Q346" s="7">
        <f t="shared" si="56"/>
        <v>0.98432601880877746</v>
      </c>
      <c r="R346">
        <v>23</v>
      </c>
      <c r="S346">
        <v>27.5</v>
      </c>
      <c r="T346">
        <v>26.6</v>
      </c>
      <c r="U346" s="7">
        <f t="shared" si="57"/>
        <v>1.0338345864661653</v>
      </c>
      <c r="V346">
        <v>23</v>
      </c>
      <c r="W346">
        <v>29</v>
      </c>
      <c r="X346">
        <v>29.3</v>
      </c>
      <c r="Y346" s="7">
        <f t="shared" si="58"/>
        <v>0.98976109215017061</v>
      </c>
    </row>
    <row r="347" spans="1:25" x14ac:dyDescent="0.3">
      <c r="A347">
        <v>24</v>
      </c>
      <c r="B347">
        <v>30.7</v>
      </c>
      <c r="C347">
        <v>30.6</v>
      </c>
      <c r="D347" s="7">
        <f t="shared" si="53"/>
        <v>1.0032679738562091</v>
      </c>
      <c r="E347">
        <v>24</v>
      </c>
      <c r="F347">
        <v>36.200000000000003</v>
      </c>
      <c r="G347">
        <v>34.799999999999997</v>
      </c>
      <c r="H347" s="7">
        <f t="shared" si="54"/>
        <v>1.0402298850574714</v>
      </c>
      <c r="I347">
        <v>24</v>
      </c>
      <c r="J347">
        <v>35.799999999999997</v>
      </c>
      <c r="K347">
        <v>33.9</v>
      </c>
      <c r="L347" s="7">
        <f t="shared" si="55"/>
        <v>1.056047197640118</v>
      </c>
      <c r="N347">
        <v>24</v>
      </c>
      <c r="O347">
        <v>25.8</v>
      </c>
      <c r="P347">
        <v>23.3</v>
      </c>
      <c r="Q347" s="7">
        <f t="shared" si="56"/>
        <v>1.1072961373390557</v>
      </c>
      <c r="R347">
        <v>24</v>
      </c>
      <c r="S347">
        <v>35.5</v>
      </c>
      <c r="T347">
        <v>33.5</v>
      </c>
      <c r="U347" s="7">
        <f t="shared" si="57"/>
        <v>1.0597014925373134</v>
      </c>
      <c r="V347">
        <v>24</v>
      </c>
      <c r="W347">
        <v>31.2</v>
      </c>
      <c r="X347">
        <v>29.1</v>
      </c>
      <c r="Y347" s="7">
        <f t="shared" si="58"/>
        <v>1.0721649484536082</v>
      </c>
    </row>
    <row r="348" spans="1:25" x14ac:dyDescent="0.3">
      <c r="A348">
        <v>25</v>
      </c>
      <c r="B348">
        <v>34.5</v>
      </c>
      <c r="C348">
        <v>32.5</v>
      </c>
      <c r="D348" s="7">
        <f t="shared" si="53"/>
        <v>1.0615384615384615</v>
      </c>
      <c r="E348">
        <v>25</v>
      </c>
      <c r="F348">
        <v>30.4</v>
      </c>
      <c r="G348">
        <v>27.1</v>
      </c>
      <c r="H348" s="7">
        <f t="shared" si="54"/>
        <v>1.121771217712177</v>
      </c>
      <c r="I348">
        <v>25</v>
      </c>
      <c r="J348">
        <v>33.299999999999997</v>
      </c>
      <c r="K348">
        <v>33.299999999999997</v>
      </c>
      <c r="L348" s="7">
        <f t="shared" si="55"/>
        <v>1</v>
      </c>
      <c r="N348">
        <v>25</v>
      </c>
      <c r="O348">
        <v>27.8</v>
      </c>
      <c r="P348">
        <v>28.2</v>
      </c>
      <c r="Q348" s="7">
        <f t="shared" si="56"/>
        <v>0.98581560283687952</v>
      </c>
      <c r="R348">
        <v>25</v>
      </c>
      <c r="S348">
        <v>28.3</v>
      </c>
      <c r="T348">
        <v>27.8</v>
      </c>
      <c r="U348" s="7">
        <f t="shared" si="57"/>
        <v>1.0179856115107915</v>
      </c>
      <c r="V348">
        <v>25</v>
      </c>
      <c r="W348">
        <v>32.299999999999997</v>
      </c>
      <c r="X348">
        <v>30.9</v>
      </c>
      <c r="Y348" s="7">
        <f t="shared" si="58"/>
        <v>1.0453074433656957</v>
      </c>
    </row>
    <row r="349" spans="1:25" x14ac:dyDescent="0.3">
      <c r="A349">
        <v>26</v>
      </c>
      <c r="B349">
        <v>33.200000000000003</v>
      </c>
      <c r="C349">
        <v>33</v>
      </c>
      <c r="D349" s="7">
        <f t="shared" si="53"/>
        <v>1.0060606060606061</v>
      </c>
      <c r="E349">
        <v>26</v>
      </c>
      <c r="F349">
        <v>26.4</v>
      </c>
      <c r="G349">
        <v>28</v>
      </c>
      <c r="H349" s="7">
        <f t="shared" si="54"/>
        <v>0.94285714285714284</v>
      </c>
      <c r="I349">
        <v>26</v>
      </c>
      <c r="J349">
        <v>31.3</v>
      </c>
      <c r="K349">
        <v>29.6</v>
      </c>
      <c r="L349" s="7">
        <f t="shared" si="55"/>
        <v>1.0574324324324325</v>
      </c>
      <c r="N349">
        <v>26</v>
      </c>
      <c r="O349">
        <v>34.700000000000003</v>
      </c>
      <c r="P349">
        <v>33.200000000000003</v>
      </c>
      <c r="Q349" s="7">
        <f t="shared" si="56"/>
        <v>1.0451807228915662</v>
      </c>
      <c r="R349">
        <v>26</v>
      </c>
      <c r="S349">
        <v>27.6</v>
      </c>
      <c r="T349">
        <v>25.7</v>
      </c>
      <c r="U349" s="7">
        <f t="shared" si="57"/>
        <v>1.0739299610894943</v>
      </c>
      <c r="V349">
        <v>26</v>
      </c>
      <c r="W349">
        <v>28.8</v>
      </c>
      <c r="X349">
        <v>26.5</v>
      </c>
      <c r="Y349" s="7">
        <f t="shared" si="58"/>
        <v>1.0867924528301887</v>
      </c>
    </row>
    <row r="350" spans="1:25" x14ac:dyDescent="0.3">
      <c r="A350">
        <v>27</v>
      </c>
      <c r="B350">
        <v>29.3</v>
      </c>
      <c r="C350">
        <v>28.4</v>
      </c>
      <c r="D350" s="7">
        <f t="shared" si="53"/>
        <v>1.0316901408450705</v>
      </c>
      <c r="E350">
        <v>27</v>
      </c>
      <c r="F350">
        <v>32.200000000000003</v>
      </c>
      <c r="G350">
        <v>29.6</v>
      </c>
      <c r="H350" s="7">
        <f t="shared" si="54"/>
        <v>1.0878378378378379</v>
      </c>
      <c r="I350">
        <v>27</v>
      </c>
      <c r="J350">
        <v>31.8</v>
      </c>
      <c r="K350">
        <v>26.2</v>
      </c>
      <c r="L350" s="7">
        <f t="shared" si="55"/>
        <v>1.2137404580152673</v>
      </c>
      <c r="N350">
        <v>27</v>
      </c>
      <c r="O350">
        <v>28.6</v>
      </c>
      <c r="P350">
        <v>27.1</v>
      </c>
      <c r="Q350" s="7">
        <f t="shared" si="56"/>
        <v>1.055350553505535</v>
      </c>
      <c r="R350">
        <v>27</v>
      </c>
      <c r="S350">
        <v>27.7</v>
      </c>
      <c r="T350">
        <v>25.4</v>
      </c>
      <c r="U350" s="7">
        <f t="shared" si="57"/>
        <v>1.0905511811023623</v>
      </c>
      <c r="V350">
        <v>27</v>
      </c>
      <c r="W350">
        <v>29.9</v>
      </c>
      <c r="X350">
        <v>29.4</v>
      </c>
      <c r="Y350" s="7">
        <f t="shared" si="58"/>
        <v>1.0170068027210883</v>
      </c>
    </row>
    <row r="351" spans="1:25" x14ac:dyDescent="0.3">
      <c r="A351">
        <v>28</v>
      </c>
      <c r="B351">
        <v>30.7</v>
      </c>
      <c r="C351">
        <v>28.5</v>
      </c>
      <c r="D351" s="7">
        <f t="shared" si="53"/>
        <v>1.0771929824561404</v>
      </c>
      <c r="E351">
        <v>28</v>
      </c>
      <c r="F351">
        <v>34.299999999999997</v>
      </c>
      <c r="G351">
        <v>32.4</v>
      </c>
      <c r="H351" s="7">
        <f t="shared" si="54"/>
        <v>1.058641975308642</v>
      </c>
      <c r="I351">
        <v>28</v>
      </c>
      <c r="J351">
        <v>31.2</v>
      </c>
      <c r="K351">
        <v>32.200000000000003</v>
      </c>
      <c r="L351" s="7">
        <f t="shared" si="55"/>
        <v>0.96894409937888193</v>
      </c>
      <c r="N351">
        <v>28</v>
      </c>
      <c r="O351">
        <v>28.5</v>
      </c>
      <c r="P351">
        <v>28.1</v>
      </c>
      <c r="Q351" s="7">
        <f t="shared" si="56"/>
        <v>1.0142348754448398</v>
      </c>
      <c r="R351">
        <v>28</v>
      </c>
      <c r="S351">
        <v>26.6</v>
      </c>
      <c r="T351">
        <v>24.7</v>
      </c>
      <c r="U351" s="7">
        <f t="shared" si="57"/>
        <v>1.0769230769230771</v>
      </c>
      <c r="V351">
        <v>28</v>
      </c>
      <c r="W351">
        <v>29.9</v>
      </c>
      <c r="X351">
        <v>30.9</v>
      </c>
      <c r="Y351" s="7">
        <f t="shared" si="58"/>
        <v>0.96763754045307449</v>
      </c>
    </row>
    <row r="352" spans="1:25" x14ac:dyDescent="0.3">
      <c r="A352">
        <v>29</v>
      </c>
      <c r="B352">
        <v>30.4</v>
      </c>
      <c r="C352">
        <v>29.1</v>
      </c>
      <c r="D352" s="7">
        <f t="shared" si="53"/>
        <v>1.0446735395189002</v>
      </c>
      <c r="E352">
        <v>29</v>
      </c>
      <c r="F352">
        <v>31.9</v>
      </c>
      <c r="G352">
        <v>29.4</v>
      </c>
      <c r="H352" s="7">
        <f t="shared" si="54"/>
        <v>1.0850340136054422</v>
      </c>
      <c r="I352">
        <v>29</v>
      </c>
      <c r="J352">
        <v>27.8</v>
      </c>
      <c r="K352">
        <v>26.7</v>
      </c>
      <c r="L352" s="7">
        <f t="shared" si="55"/>
        <v>1.0411985018726593</v>
      </c>
      <c r="N352">
        <v>29</v>
      </c>
      <c r="O352">
        <v>25.3</v>
      </c>
      <c r="P352">
        <v>23.5</v>
      </c>
      <c r="Q352" s="7">
        <f t="shared" si="56"/>
        <v>1.0765957446808512</v>
      </c>
      <c r="R352">
        <v>29</v>
      </c>
      <c r="S352">
        <v>26.8</v>
      </c>
      <c r="T352">
        <v>25.9</v>
      </c>
      <c r="U352" s="7">
        <f t="shared" si="57"/>
        <v>1.0347490347490349</v>
      </c>
      <c r="V352">
        <v>29</v>
      </c>
      <c r="W352">
        <v>27.3</v>
      </c>
      <c r="X352">
        <v>25.9</v>
      </c>
      <c r="Y352" s="7">
        <f t="shared" si="58"/>
        <v>1.0540540540540542</v>
      </c>
    </row>
    <row r="353" spans="1:25" x14ac:dyDescent="0.3">
      <c r="A353">
        <v>30</v>
      </c>
      <c r="B353">
        <v>31.4</v>
      </c>
      <c r="C353">
        <v>30.4</v>
      </c>
      <c r="D353" s="7">
        <f t="shared" si="53"/>
        <v>1.0328947368421053</v>
      </c>
      <c r="E353">
        <v>30</v>
      </c>
      <c r="F353">
        <v>35.700000000000003</v>
      </c>
      <c r="G353">
        <v>31.4</v>
      </c>
      <c r="H353" s="7">
        <f t="shared" si="54"/>
        <v>1.1369426751592357</v>
      </c>
      <c r="I353">
        <v>30</v>
      </c>
      <c r="J353">
        <v>31.6</v>
      </c>
      <c r="K353">
        <v>30.8</v>
      </c>
      <c r="L353" s="7">
        <f t="shared" si="55"/>
        <v>1.025974025974026</v>
      </c>
      <c r="N353">
        <v>30</v>
      </c>
      <c r="O353">
        <v>29.5</v>
      </c>
      <c r="P353">
        <v>27</v>
      </c>
      <c r="Q353" s="7">
        <f t="shared" si="56"/>
        <v>1.0925925925925926</v>
      </c>
      <c r="R353">
        <v>30</v>
      </c>
      <c r="S353">
        <v>33.1</v>
      </c>
      <c r="T353">
        <v>36.4</v>
      </c>
      <c r="U353" s="7">
        <f t="shared" si="57"/>
        <v>0.90934065934065944</v>
      </c>
      <c r="V353">
        <v>30</v>
      </c>
      <c r="W353">
        <v>29.3</v>
      </c>
      <c r="X353">
        <v>26.2</v>
      </c>
      <c r="Y353" s="7">
        <f t="shared" si="58"/>
        <v>1.1183206106870229</v>
      </c>
    </row>
  </sheetData>
  <mergeCells count="20">
    <mergeCell ref="A320:K320"/>
    <mergeCell ref="N320:X320"/>
    <mergeCell ref="A215:K215"/>
    <mergeCell ref="N215:X215"/>
    <mergeCell ref="A250:K250"/>
    <mergeCell ref="N250:X250"/>
    <mergeCell ref="A285:K285"/>
    <mergeCell ref="N285:X285"/>
    <mergeCell ref="A109:K109"/>
    <mergeCell ref="N109:X109"/>
    <mergeCell ref="A145:K145"/>
    <mergeCell ref="N145:X145"/>
    <mergeCell ref="A180:K180"/>
    <mergeCell ref="N180:X180"/>
    <mergeCell ref="A1:K1"/>
    <mergeCell ref="N1:X1"/>
    <mergeCell ref="A37:K37"/>
    <mergeCell ref="N37:X37"/>
    <mergeCell ref="A73:K73"/>
    <mergeCell ref="N73:X7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4" sqref="A4"/>
    </sheetView>
  </sheetViews>
  <sheetFormatPr baseColWidth="10" defaultRowHeight="14.4" x14ac:dyDescent="0.3"/>
  <sheetData>
    <row r="1" spans="1:12" x14ac:dyDescent="0.3">
      <c r="A1" t="s">
        <v>76</v>
      </c>
      <c r="D1" t="s">
        <v>77</v>
      </c>
    </row>
    <row r="2" spans="1:12" x14ac:dyDescent="0.3">
      <c r="A2" t="s">
        <v>78</v>
      </c>
    </row>
    <row r="3" spans="1:12" x14ac:dyDescent="0.3">
      <c r="A3" t="s">
        <v>123</v>
      </c>
    </row>
    <row r="6" spans="1:12" x14ac:dyDescent="0.3">
      <c r="B6" s="8" t="s">
        <v>12</v>
      </c>
      <c r="C6" s="8" t="s">
        <v>10</v>
      </c>
    </row>
    <row r="7" spans="1:12" x14ac:dyDescent="0.3">
      <c r="C7" s="23" t="s">
        <v>79</v>
      </c>
      <c r="D7" s="23"/>
      <c r="E7" s="23"/>
      <c r="H7" s="23" t="s">
        <v>80</v>
      </c>
      <c r="I7" s="23"/>
      <c r="J7" s="23"/>
    </row>
    <row r="8" spans="1:12" x14ac:dyDescent="0.3">
      <c r="B8" t="s">
        <v>9</v>
      </c>
      <c r="C8" s="4" t="s">
        <v>3</v>
      </c>
      <c r="D8" s="4" t="s">
        <v>2</v>
      </c>
      <c r="E8" s="4" t="s">
        <v>0</v>
      </c>
      <c r="F8" s="4" t="s">
        <v>81</v>
      </c>
      <c r="G8" s="4" t="s">
        <v>4</v>
      </c>
      <c r="H8" s="4" t="s">
        <v>3</v>
      </c>
      <c r="I8" s="4" t="s">
        <v>2</v>
      </c>
      <c r="J8" s="4" t="s">
        <v>0</v>
      </c>
      <c r="K8" s="4" t="s">
        <v>81</v>
      </c>
      <c r="L8" s="4" t="s">
        <v>4</v>
      </c>
    </row>
    <row r="9" spans="1:12" x14ac:dyDescent="0.3">
      <c r="B9" s="8" t="s">
        <v>82</v>
      </c>
      <c r="C9" s="2">
        <v>13.427109974424553</v>
      </c>
      <c r="D9" s="2">
        <v>18.158890290037832</v>
      </c>
      <c r="E9" s="2">
        <v>20.045558086560366</v>
      </c>
      <c r="F9" s="2">
        <f>AVERAGE(C9:E9)</f>
        <v>17.210519450340914</v>
      </c>
      <c r="G9" s="1">
        <f>STDEV(C9:E9)</f>
        <v>3.4096215758422774</v>
      </c>
      <c r="H9" s="2">
        <v>15.547126313349867</v>
      </c>
      <c r="I9" s="2">
        <v>18.822237317246969</v>
      </c>
      <c r="J9" s="2">
        <v>23.164443482645154</v>
      </c>
      <c r="K9" s="2">
        <f>AVERAGE(H9:J9)</f>
        <v>19.177935704413997</v>
      </c>
      <c r="L9" s="1">
        <f>STDEV(H9:J9)</f>
        <v>3.8210955525065211</v>
      </c>
    </row>
    <row r="10" spans="1:12" x14ac:dyDescent="0.3">
      <c r="B10" s="8" t="s">
        <v>83</v>
      </c>
      <c r="C10" s="2">
        <v>10.2740840226007</v>
      </c>
      <c r="D10" s="2">
        <v>5.7165601205042691</v>
      </c>
      <c r="E10" s="2">
        <v>8.2478546299125757</v>
      </c>
      <c r="F10" s="2">
        <f>AVERAGE(C10:E10)</f>
        <v>8.0794995910058489</v>
      </c>
      <c r="G10" s="1">
        <f>STDEV(C10:E10)</f>
        <v>2.2834214665472934</v>
      </c>
      <c r="H10" s="2">
        <v>16.465286861247531</v>
      </c>
      <c r="I10" s="2">
        <v>13.660469179376184</v>
      </c>
      <c r="J10" s="2">
        <v>16.412364940850289</v>
      </c>
      <c r="K10" s="2">
        <f>AVERAGE(H10:J10)</f>
        <v>15.512706993824667</v>
      </c>
      <c r="L10" s="1">
        <f>STDEV(H10:J10)</f>
        <v>1.6043032361026095</v>
      </c>
    </row>
    <row r="11" spans="1:12" x14ac:dyDescent="0.3">
      <c r="B11" s="8" t="s">
        <v>13</v>
      </c>
      <c r="C11" s="2">
        <v>5.4587155963302756</v>
      </c>
      <c r="D11" s="2">
        <v>6.0210526315789465</v>
      </c>
      <c r="E11" s="2">
        <v>4.3367714080115141</v>
      </c>
      <c r="F11" s="2">
        <f>AVERAGE(C11:E11)</f>
        <v>5.2721798786402454</v>
      </c>
      <c r="G11" s="1">
        <f>STDEV(C11:E11)</f>
        <v>0.85749489240231158</v>
      </c>
      <c r="H11" s="2">
        <v>10.183860070004005</v>
      </c>
      <c r="I11" s="2">
        <v>7.8966017222167828</v>
      </c>
      <c r="J11" s="2">
        <v>7.9174370829614187</v>
      </c>
      <c r="K11" s="2">
        <f>AVERAGE(H11:J11)</f>
        <v>8.6659662917274023</v>
      </c>
      <c r="L11" s="1">
        <f>STDEV(H11:J11)</f>
        <v>1.3145758516199986</v>
      </c>
    </row>
    <row r="12" spans="1:12" x14ac:dyDescent="0.3">
      <c r="B12" s="8" t="s">
        <v>11</v>
      </c>
      <c r="C12" s="2">
        <v>4.109633609040281</v>
      </c>
      <c r="D12" s="2">
        <v>3.3119526303644031</v>
      </c>
      <c r="E12" s="2">
        <v>3.1663379906288029</v>
      </c>
      <c r="F12" s="2">
        <f>AVERAGE(C12:E12)</f>
        <v>3.5293080766778289</v>
      </c>
      <c r="G12" s="1">
        <f>STDEV(C12:E12)</f>
        <v>0.50782299914454188</v>
      </c>
      <c r="H12" s="2">
        <v>8.6820235305486442</v>
      </c>
      <c r="I12" s="2">
        <v>9.0244198426093689</v>
      </c>
      <c r="J12" s="2">
        <v>9.2726228134820516</v>
      </c>
      <c r="K12" s="2">
        <f>AVERAGE(H12:J12)</f>
        <v>8.9930220622133543</v>
      </c>
      <c r="L12" s="1">
        <f>STDEV(H12:J12)</f>
        <v>0.29654888924207928</v>
      </c>
    </row>
    <row r="13" spans="1:12" x14ac:dyDescent="0.3">
      <c r="B13" s="8" t="s">
        <v>84</v>
      </c>
      <c r="C13" s="2">
        <v>7.7590361445783138</v>
      </c>
      <c r="D13" s="2">
        <v>9.1655390166892197</v>
      </c>
      <c r="E13" s="2">
        <v>12.22715173025732</v>
      </c>
      <c r="F13" s="2">
        <f>AVERAGE(C13:E13)</f>
        <v>9.7172422971749501</v>
      </c>
      <c r="G13" s="1">
        <f>STDEV(C13:E13)</f>
        <v>2.2845779925450058</v>
      </c>
      <c r="H13" s="2">
        <v>8.5780272298334985</v>
      </c>
      <c r="I13" s="2">
        <v>9.5893699915769375</v>
      </c>
      <c r="J13" s="2">
        <v>13.204741162314329</v>
      </c>
      <c r="K13" s="2">
        <f>AVERAGE(H13:J13)</f>
        <v>10.457379461241588</v>
      </c>
      <c r="L13" s="1">
        <f>STDEV(H13:J13)</f>
        <v>2.4324269326793053</v>
      </c>
    </row>
    <row r="16" spans="1:12" x14ac:dyDescent="0.3">
      <c r="B16" s="20" t="s">
        <v>12</v>
      </c>
      <c r="C16" s="8" t="s">
        <v>85</v>
      </c>
    </row>
    <row r="17" spans="2:12" x14ac:dyDescent="0.3">
      <c r="C17" s="23" t="s">
        <v>79</v>
      </c>
      <c r="D17" s="23"/>
      <c r="E17" s="23"/>
      <c r="H17" s="23" t="s">
        <v>80</v>
      </c>
      <c r="I17" s="23"/>
      <c r="J17" s="23"/>
    </row>
    <row r="18" spans="2:12" x14ac:dyDescent="0.3">
      <c r="B18" t="s">
        <v>9</v>
      </c>
      <c r="C18" s="4" t="s">
        <v>3</v>
      </c>
      <c r="D18" s="4" t="s">
        <v>2</v>
      </c>
      <c r="E18" s="4" t="s">
        <v>0</v>
      </c>
      <c r="F18" s="4" t="s">
        <v>81</v>
      </c>
      <c r="G18" s="4" t="s">
        <v>4</v>
      </c>
      <c r="H18" s="4" t="s">
        <v>3</v>
      </c>
      <c r="I18" s="4" t="s">
        <v>2</v>
      </c>
      <c r="J18" s="4" t="s">
        <v>0</v>
      </c>
      <c r="K18" s="4" t="s">
        <v>81</v>
      </c>
      <c r="L18" s="4" t="s">
        <v>4</v>
      </c>
    </row>
    <row r="19" spans="2:12" x14ac:dyDescent="0.3">
      <c r="B19" s="8" t="s">
        <v>82</v>
      </c>
      <c r="C19" s="2">
        <v>9.2410592410592418</v>
      </c>
      <c r="D19" s="2">
        <v>9.4797532850630191</v>
      </c>
      <c r="E19" s="2">
        <v>6.0389610389610393</v>
      </c>
      <c r="F19" s="2">
        <f>AVERAGE(C19:E19)</f>
        <v>8.2532578550277673</v>
      </c>
      <c r="G19" s="1">
        <f>STDEV(C19:E19)</f>
        <v>1.9213475749830273</v>
      </c>
      <c r="H19" s="2">
        <v>7.913633369233585</v>
      </c>
      <c r="I19" s="2">
        <v>9.900541002245749</v>
      </c>
      <c r="J19" s="2">
        <v>7.9759230593541197</v>
      </c>
      <c r="K19" s="2">
        <f>AVERAGE(H19:J19)</f>
        <v>8.5966991436111506</v>
      </c>
      <c r="L19" s="1">
        <f>STDEV(H19:J19)</f>
        <v>1.1295896138065555</v>
      </c>
    </row>
    <row r="20" spans="2:12" x14ac:dyDescent="0.3">
      <c r="B20" s="8" t="s">
        <v>83</v>
      </c>
      <c r="C20" s="2">
        <v>0.8638869448433022</v>
      </c>
      <c r="D20" s="2">
        <v>1.2928264180057982</v>
      </c>
      <c r="E20" s="2">
        <v>1.1437729472828635</v>
      </c>
      <c r="F20" s="2">
        <f>AVERAGE(C20:E20)</f>
        <v>1.1001621033773212</v>
      </c>
      <c r="G20" s="1">
        <f>STDEV(C20:E20)</f>
        <v>0.21776982616709165</v>
      </c>
      <c r="H20" s="2">
        <v>30.649766196000012</v>
      </c>
      <c r="I20" s="2">
        <v>20.266938725670077</v>
      </c>
      <c r="J20" s="2">
        <v>30.528142564960429</v>
      </c>
      <c r="K20" s="2">
        <f>AVERAGE(H20:J20)</f>
        <v>27.148282495543508</v>
      </c>
      <c r="L20" s="1">
        <f>STDEV(H20:J20)</f>
        <v>5.9597287804302459</v>
      </c>
    </row>
    <row r="21" spans="2:12" x14ac:dyDescent="0.3">
      <c r="B21" s="8" t="s">
        <v>13</v>
      </c>
      <c r="C21" s="2">
        <v>5.880149812734083</v>
      </c>
      <c r="D21" s="2">
        <v>6.8468468468468471</v>
      </c>
      <c r="E21" s="2">
        <v>9.2787794729542306</v>
      </c>
      <c r="F21" s="2">
        <f>AVERAGE(C21:E21)</f>
        <v>7.3352587108450535</v>
      </c>
      <c r="G21" s="1">
        <f>STDEV(C21:E21)</f>
        <v>1.7511654700520674</v>
      </c>
      <c r="H21" s="2">
        <v>20.404775039632117</v>
      </c>
      <c r="I21" s="2">
        <v>21.847550572701039</v>
      </c>
      <c r="J21" s="2">
        <v>28.668445965333611</v>
      </c>
      <c r="K21" s="2">
        <f>AVERAGE(H21:J21)</f>
        <v>23.640257192555584</v>
      </c>
      <c r="L21" s="1">
        <f>STDEV(H21:J21)</f>
        <v>4.4138885419462142</v>
      </c>
    </row>
    <row r="22" spans="2:12" x14ac:dyDescent="0.3">
      <c r="B22" s="8" t="s">
        <v>11</v>
      </c>
      <c r="C22" s="2">
        <v>0.84832879133427586</v>
      </c>
      <c r="D22" s="2">
        <v>0.54542807920632097</v>
      </c>
      <c r="E22" s="2">
        <v>0.92994627095516136</v>
      </c>
      <c r="F22" s="2">
        <f>AVERAGE(C22:E22)</f>
        <v>0.77456771383191947</v>
      </c>
      <c r="G22" s="1">
        <f>STDEV(C22:E22)</f>
        <v>0.20259339170412449</v>
      </c>
      <c r="H22" s="2">
        <v>19.902655623751336</v>
      </c>
      <c r="I22" s="2">
        <v>30.323519117504425</v>
      </c>
      <c r="J22" s="2">
        <v>27.379681147069647</v>
      </c>
      <c r="K22" s="2">
        <f>AVERAGE(H22:J22)</f>
        <v>25.868618629441801</v>
      </c>
      <c r="L22" s="1">
        <f>STDEV(H22:J22)</f>
        <v>5.372251058727028</v>
      </c>
    </row>
    <row r="23" spans="2:12" x14ac:dyDescent="0.3">
      <c r="B23" s="8" t="s">
        <v>84</v>
      </c>
      <c r="C23" s="2">
        <v>1.7409470752089136</v>
      </c>
      <c r="D23" s="2">
        <v>2.0722291407222917</v>
      </c>
      <c r="E23" s="2">
        <v>2.6223435367518033</v>
      </c>
      <c r="F23" s="2">
        <f>AVERAGE(C23:E23)</f>
        <v>2.1451732508943362</v>
      </c>
      <c r="G23" s="1">
        <f>STDEV(C23:E23)</f>
        <v>0.44520283356204648</v>
      </c>
      <c r="H23" s="2">
        <v>27.583293306620462</v>
      </c>
      <c r="I23" s="2">
        <v>31.040507332108525</v>
      </c>
      <c r="J23" s="2">
        <v>24.011415928871351</v>
      </c>
      <c r="K23" s="2">
        <f>AVERAGE(H23:J23)</f>
        <v>27.545072189200113</v>
      </c>
      <c r="L23" s="1">
        <f>STDEV(H23:J23)</f>
        <v>3.5147015704222389</v>
      </c>
    </row>
    <row r="28" spans="2:12" x14ac:dyDescent="0.3">
      <c r="B28" s="20" t="s">
        <v>86</v>
      </c>
      <c r="C28" s="8" t="s">
        <v>87</v>
      </c>
    </row>
    <row r="29" spans="2:12" x14ac:dyDescent="0.3">
      <c r="C29" s="23" t="s">
        <v>79</v>
      </c>
      <c r="D29" s="23"/>
      <c r="E29" s="23"/>
      <c r="H29" s="23" t="s">
        <v>80</v>
      </c>
      <c r="I29" s="23"/>
      <c r="J29" s="23"/>
    </row>
    <row r="30" spans="2:12" x14ac:dyDescent="0.3">
      <c r="B30" t="s">
        <v>88</v>
      </c>
      <c r="C30" s="4" t="s">
        <v>3</v>
      </c>
      <c r="D30" s="4" t="s">
        <v>2</v>
      </c>
      <c r="E30" s="4" t="s">
        <v>0</v>
      </c>
      <c r="F30" s="4" t="s">
        <v>81</v>
      </c>
      <c r="G30" s="4" t="s">
        <v>4</v>
      </c>
      <c r="H30" s="4" t="s">
        <v>3</v>
      </c>
      <c r="I30" s="4" t="s">
        <v>2</v>
      </c>
      <c r="J30" s="4" t="s">
        <v>0</v>
      </c>
      <c r="K30" s="4" t="s">
        <v>81</v>
      </c>
      <c r="L30" s="4" t="s">
        <v>4</v>
      </c>
    </row>
    <row r="31" spans="2:12" x14ac:dyDescent="0.3">
      <c r="B31" s="8" t="s">
        <v>89</v>
      </c>
      <c r="C31" s="2">
        <v>7.6303025254352104</v>
      </c>
      <c r="D31" s="2">
        <v>7.514049826682732</v>
      </c>
      <c r="E31" s="2">
        <v>6.1738715812330813</v>
      </c>
      <c r="F31" s="2">
        <f t="shared" ref="F31:F36" si="0">AVERAGE(C31:E31)</f>
        <v>7.1060746444503406</v>
      </c>
      <c r="G31" s="1">
        <f t="shared" ref="G31:G36" si="1">STDEV(C31:E31)</f>
        <v>0.80940137496519027</v>
      </c>
      <c r="H31" s="2">
        <v>9.766236692807567</v>
      </c>
      <c r="I31" s="2">
        <v>6.3252726689306114</v>
      </c>
      <c r="J31" s="2">
        <v>7.5440127435195059</v>
      </c>
      <c r="K31" s="2">
        <f t="shared" ref="K31:K36" si="2">AVERAGE(H31:J31)</f>
        <v>7.8785073684192284</v>
      </c>
      <c r="L31" s="1">
        <f t="shared" ref="L31:L36" si="3">STDEV(H31:J31)</f>
        <v>1.7446986398713595</v>
      </c>
    </row>
    <row r="32" spans="2:12" x14ac:dyDescent="0.3">
      <c r="B32" s="8" t="s">
        <v>90</v>
      </c>
      <c r="C32" s="2">
        <v>2.4681080624576115</v>
      </c>
      <c r="D32" s="2">
        <v>3.5599665467303945</v>
      </c>
      <c r="E32" s="2">
        <v>3.1726293903242082</v>
      </c>
      <c r="F32" s="2">
        <f t="shared" si="0"/>
        <v>3.0669013331707382</v>
      </c>
      <c r="G32" s="1">
        <f t="shared" si="1"/>
        <v>0.55355447245208111</v>
      </c>
      <c r="H32" s="2">
        <v>3.1068765534382772</v>
      </c>
      <c r="I32" s="2">
        <v>3.7574114108793886</v>
      </c>
      <c r="J32" s="2">
        <v>3.9636126255590671</v>
      </c>
      <c r="K32" s="2">
        <f t="shared" si="2"/>
        <v>3.6093001966255778</v>
      </c>
      <c r="L32" s="1">
        <f t="shared" si="3"/>
        <v>0.44715978481862678</v>
      </c>
    </row>
    <row r="33" spans="2:12" x14ac:dyDescent="0.3">
      <c r="B33" s="8" t="s">
        <v>91</v>
      </c>
      <c r="C33" s="2">
        <v>5.4587155963302756</v>
      </c>
      <c r="D33" s="2">
        <v>6.0210526315789465</v>
      </c>
      <c r="E33" s="2">
        <v>4.3367714080115141</v>
      </c>
      <c r="F33" s="2">
        <f t="shared" si="0"/>
        <v>5.2721798786402454</v>
      </c>
      <c r="G33" s="1">
        <f t="shared" si="1"/>
        <v>0.85749489240231158</v>
      </c>
      <c r="H33" s="2">
        <v>10.183860070004005</v>
      </c>
      <c r="I33" s="2">
        <v>7.8966017222167828</v>
      </c>
      <c r="J33" s="2">
        <v>7.9174370829614187</v>
      </c>
      <c r="K33" s="2">
        <f t="shared" si="2"/>
        <v>8.6659662917274023</v>
      </c>
      <c r="L33" s="1">
        <f t="shared" si="3"/>
        <v>1.3145758516199986</v>
      </c>
    </row>
    <row r="34" spans="2:12" x14ac:dyDescent="0.3">
      <c r="B34" s="8" t="s">
        <v>92</v>
      </c>
      <c r="C34" s="2">
        <v>6.2930569537746424</v>
      </c>
      <c r="D34" s="2">
        <v>5.6978978057708236</v>
      </c>
      <c r="E34" s="2">
        <v>6.2550548396670873</v>
      </c>
      <c r="F34" s="2">
        <f t="shared" si="0"/>
        <v>6.0820031997375184</v>
      </c>
      <c r="G34" s="1">
        <f t="shared" si="1"/>
        <v>0.33318726780129654</v>
      </c>
      <c r="H34" s="2">
        <v>7.3291650602526861</v>
      </c>
      <c r="I34" s="2">
        <v>5.9375485434712001</v>
      </c>
      <c r="J34" s="2">
        <v>5.8108677291054889</v>
      </c>
      <c r="K34" s="2">
        <f t="shared" si="2"/>
        <v>6.359193777609792</v>
      </c>
      <c r="L34" s="1">
        <f t="shared" si="3"/>
        <v>0.84240443021509204</v>
      </c>
    </row>
    <row r="35" spans="2:12" x14ac:dyDescent="0.3">
      <c r="B35" s="8" t="s">
        <v>93</v>
      </c>
      <c r="C35" s="2">
        <v>1.8453705603470163</v>
      </c>
      <c r="D35" s="2">
        <v>1.7519428931650041</v>
      </c>
      <c r="E35" s="2">
        <v>1.113305081192707</v>
      </c>
      <c r="F35" s="2">
        <f t="shared" si="0"/>
        <v>1.5702061782349093</v>
      </c>
      <c r="G35" s="1">
        <f t="shared" si="1"/>
        <v>0.39843586887671589</v>
      </c>
      <c r="H35" s="2">
        <v>1.0956633746993867</v>
      </c>
      <c r="I35" s="2">
        <v>1.1389311064759164</v>
      </c>
      <c r="J35" s="2">
        <v>0.54445615336130437</v>
      </c>
      <c r="K35" s="2">
        <f t="shared" si="2"/>
        <v>0.92635021151220254</v>
      </c>
      <c r="L35" s="1">
        <f t="shared" si="3"/>
        <v>0.33143676303556402</v>
      </c>
    </row>
    <row r="36" spans="2:12" x14ac:dyDescent="0.3">
      <c r="B36" s="8" t="s">
        <v>94</v>
      </c>
      <c r="C36" s="2">
        <v>0.15447543263113056</v>
      </c>
      <c r="D36" s="2">
        <v>0.19437172953659107</v>
      </c>
      <c r="E36" s="2">
        <v>0.21967628022015825</v>
      </c>
      <c r="F36" s="2">
        <f t="shared" si="0"/>
        <v>0.18950781412929329</v>
      </c>
      <c r="G36" s="1">
        <f t="shared" si="1"/>
        <v>3.287142963728415E-2</v>
      </c>
      <c r="H36" s="2">
        <v>0.13287270794578793</v>
      </c>
      <c r="I36" s="2">
        <v>6.8769048572033434E-2</v>
      </c>
      <c r="J36" s="2">
        <v>0.15295744230543956</v>
      </c>
      <c r="K36" s="2">
        <f t="shared" si="2"/>
        <v>0.11819973294108697</v>
      </c>
      <c r="L36" s="1">
        <f t="shared" si="3"/>
        <v>4.3970371347865474E-2</v>
      </c>
    </row>
    <row r="39" spans="2:12" x14ac:dyDescent="0.3">
      <c r="B39" s="20" t="s">
        <v>86</v>
      </c>
      <c r="C39" s="8" t="s">
        <v>85</v>
      </c>
    </row>
    <row r="40" spans="2:12" x14ac:dyDescent="0.3">
      <c r="C40" s="23" t="s">
        <v>79</v>
      </c>
      <c r="D40" s="23"/>
      <c r="E40" s="23"/>
      <c r="H40" s="23" t="s">
        <v>80</v>
      </c>
      <c r="I40" s="23"/>
      <c r="J40" s="23"/>
    </row>
    <row r="41" spans="2:12" x14ac:dyDescent="0.3">
      <c r="B41" t="s">
        <v>88</v>
      </c>
      <c r="C41" s="4" t="s">
        <v>3</v>
      </c>
      <c r="D41" s="4" t="s">
        <v>2</v>
      </c>
      <c r="E41" s="4" t="s">
        <v>0</v>
      </c>
      <c r="F41" s="4" t="s">
        <v>81</v>
      </c>
      <c r="G41" s="4" t="s">
        <v>4</v>
      </c>
      <c r="H41" s="4" t="s">
        <v>3</v>
      </c>
      <c r="I41" s="4" t="s">
        <v>2</v>
      </c>
      <c r="J41" s="4" t="s">
        <v>0</v>
      </c>
      <c r="K41" s="4" t="s">
        <v>81</v>
      </c>
      <c r="L41" s="4" t="s">
        <v>4</v>
      </c>
    </row>
    <row r="42" spans="2:12" x14ac:dyDescent="0.3">
      <c r="B42" s="8" t="s">
        <v>89</v>
      </c>
      <c r="C42" s="2">
        <v>2.3236651964103312</v>
      </c>
      <c r="D42" s="2">
        <v>2.414689439068586</v>
      </c>
      <c r="E42" s="2">
        <v>2.4449934614315105</v>
      </c>
      <c r="F42" s="2">
        <f t="shared" ref="F42:F47" si="4">AVERAGE(C42:E42)</f>
        <v>2.3944493656368091</v>
      </c>
      <c r="G42" s="1">
        <f t="shared" ref="G42:G47" si="5">STDEV(C42:E42)</f>
        <v>6.3145723550016977E-2</v>
      </c>
      <c r="H42" s="2">
        <v>21.946147170755218</v>
      </c>
      <c r="I42" s="2">
        <v>25.673845727448136</v>
      </c>
      <c r="J42" s="2">
        <v>24.821877509016318</v>
      </c>
      <c r="K42" s="2">
        <f t="shared" ref="K42:K47" si="6">AVERAGE(H42:J42)</f>
        <v>24.14729013573989</v>
      </c>
      <c r="L42" s="1">
        <f t="shared" ref="L42:L47" si="7">STDEV(H42:J42)</f>
        <v>1.9532627128808373</v>
      </c>
    </row>
    <row r="43" spans="2:12" x14ac:dyDescent="0.3">
      <c r="B43" s="8" t="s">
        <v>90</v>
      </c>
      <c r="C43" s="2">
        <v>1.1722573720774296</v>
      </c>
      <c r="D43" s="2">
        <v>1.1623396387036407</v>
      </c>
      <c r="E43" s="2">
        <v>0.9935767899716681</v>
      </c>
      <c r="F43" s="2">
        <f t="shared" si="4"/>
        <v>1.1093912669175794</v>
      </c>
      <c r="G43" s="1">
        <f t="shared" si="5"/>
        <v>0.10042079048438958</v>
      </c>
      <c r="H43" s="2">
        <v>18.914946651676146</v>
      </c>
      <c r="I43" s="2">
        <v>21.521018578408995</v>
      </c>
      <c r="J43" s="2">
        <v>26.050074583246669</v>
      </c>
      <c r="K43" s="2">
        <f t="shared" si="6"/>
        <v>22.162013271110606</v>
      </c>
      <c r="L43" s="1">
        <f t="shared" si="7"/>
        <v>3.6104941901383953</v>
      </c>
    </row>
    <row r="44" spans="2:12" x14ac:dyDescent="0.3">
      <c r="B44" s="8" t="s">
        <v>91</v>
      </c>
      <c r="C44" s="2">
        <v>5.880149812734083</v>
      </c>
      <c r="D44" s="2">
        <v>6.8468468468468471</v>
      </c>
      <c r="E44" s="2">
        <v>9.2787794729542306</v>
      </c>
      <c r="F44" s="2">
        <f t="shared" si="4"/>
        <v>7.3352587108450535</v>
      </c>
      <c r="G44" s="1">
        <f t="shared" si="5"/>
        <v>1.7511654700520674</v>
      </c>
      <c r="H44" s="2">
        <v>20.404775039632117</v>
      </c>
      <c r="I44" s="2">
        <v>21.847550572701039</v>
      </c>
      <c r="J44" s="2">
        <v>28.668445965333611</v>
      </c>
      <c r="K44" s="2">
        <f t="shared" si="6"/>
        <v>23.640257192555584</v>
      </c>
      <c r="L44" s="1">
        <f t="shared" si="7"/>
        <v>4.4138885419462142</v>
      </c>
    </row>
    <row r="45" spans="2:12" x14ac:dyDescent="0.3">
      <c r="B45" s="8" t="s">
        <v>92</v>
      </c>
      <c r="C45" s="2">
        <v>3.5261878007602734</v>
      </c>
      <c r="D45" s="2">
        <v>3.4737536612686668</v>
      </c>
      <c r="E45" s="2">
        <v>2.7302426985985195</v>
      </c>
      <c r="F45" s="2">
        <f t="shared" si="4"/>
        <v>3.2433947202091531</v>
      </c>
      <c r="G45" s="1">
        <f t="shared" si="5"/>
        <v>0.44517533928595832</v>
      </c>
      <c r="H45" s="2">
        <v>22.886423354844361</v>
      </c>
      <c r="I45" s="2">
        <v>19.928001340654315</v>
      </c>
      <c r="J45" s="2">
        <v>21.114921716782014</v>
      </c>
      <c r="K45" s="2">
        <f t="shared" si="6"/>
        <v>21.309782137426897</v>
      </c>
      <c r="L45" s="1">
        <f t="shared" si="7"/>
        <v>1.4888059447629489</v>
      </c>
    </row>
    <row r="46" spans="2:12" x14ac:dyDescent="0.3">
      <c r="B46" s="8" t="s">
        <v>93</v>
      </c>
      <c r="C46" s="2">
        <v>0.15966774096571168</v>
      </c>
      <c r="D46" s="2">
        <v>3.8140027721555003E-2</v>
      </c>
      <c r="E46" s="2">
        <v>0.8113420971444999</v>
      </c>
      <c r="F46" s="2">
        <f t="shared" si="4"/>
        <v>0.33638328861058886</v>
      </c>
      <c r="G46" s="1">
        <f t="shared" si="5"/>
        <v>0.4157903902503674</v>
      </c>
      <c r="H46" s="2">
        <v>1.4098459856963199</v>
      </c>
      <c r="I46" s="2">
        <v>1.6580379091224007</v>
      </c>
      <c r="J46" s="2">
        <v>1.7199621655166548</v>
      </c>
      <c r="K46" s="2">
        <f t="shared" si="6"/>
        <v>1.5959486867784587</v>
      </c>
      <c r="L46" s="1">
        <f t="shared" si="7"/>
        <v>0.16411677213205905</v>
      </c>
    </row>
    <row r="47" spans="2:12" x14ac:dyDescent="0.3">
      <c r="B47" s="8" t="s">
        <v>94</v>
      </c>
      <c r="C47" s="2">
        <v>3.0303534237081462E-2</v>
      </c>
      <c r="D47" s="2">
        <v>1.4496333778348814E-2</v>
      </c>
      <c r="E47" s="2">
        <v>2.0765608976896659E-2</v>
      </c>
      <c r="F47" s="2">
        <f t="shared" si="4"/>
        <v>2.1855158997442309E-2</v>
      </c>
      <c r="G47" s="1">
        <f t="shared" si="5"/>
        <v>7.9597258760018153E-3</v>
      </c>
      <c r="H47" s="2">
        <v>0.53558096600226823</v>
      </c>
      <c r="I47" s="2">
        <v>0.37930500931719641</v>
      </c>
      <c r="J47" s="2">
        <v>0.3833424015284832</v>
      </c>
      <c r="K47" s="2">
        <f t="shared" si="6"/>
        <v>0.43274279228264928</v>
      </c>
      <c r="L47" s="1">
        <f t="shared" si="7"/>
        <v>8.9083346448462775E-2</v>
      </c>
    </row>
  </sheetData>
  <mergeCells count="8">
    <mergeCell ref="C40:E40"/>
    <mergeCell ref="H40:J40"/>
    <mergeCell ref="C7:E7"/>
    <mergeCell ref="H7:J7"/>
    <mergeCell ref="C17:E17"/>
    <mergeCell ref="H17:J17"/>
    <mergeCell ref="C29:E29"/>
    <mergeCell ref="H29:J2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opLeftCell="A4" workbookViewId="0">
      <selection activeCell="A3" sqref="A3:L3"/>
    </sheetView>
  </sheetViews>
  <sheetFormatPr baseColWidth="10" defaultRowHeight="14.4" x14ac:dyDescent="0.3"/>
  <cols>
    <col min="1" max="12" width="14.5546875" bestFit="1" customWidth="1"/>
    <col min="14" max="14" width="14.5546875" bestFit="1" customWidth="1"/>
    <col min="15" max="15" width="15.5546875" bestFit="1" customWidth="1"/>
    <col min="16" max="16" width="14.5546875" bestFit="1" customWidth="1"/>
    <col min="17" max="25" width="15.5546875" bestFit="1" customWidth="1"/>
  </cols>
  <sheetData>
    <row r="1" spans="1:37" x14ac:dyDescent="0.3">
      <c r="A1" t="s">
        <v>74</v>
      </c>
      <c r="G1" t="s">
        <v>75</v>
      </c>
    </row>
    <row r="2" spans="1:37" x14ac:dyDescent="0.3">
      <c r="A2" t="s">
        <v>124</v>
      </c>
    </row>
    <row r="3" spans="1:37" x14ac:dyDescent="0.3">
      <c r="A3" s="28" t="s">
        <v>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N3" s="28" t="s">
        <v>55</v>
      </c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5" spans="1:37" x14ac:dyDescent="0.3">
      <c r="A5" s="23" t="s">
        <v>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N5" s="26" t="s">
        <v>54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15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x14ac:dyDescent="0.3">
      <c r="A6" s="27" t="s">
        <v>49</v>
      </c>
      <c r="B6" s="27"/>
      <c r="C6" s="27"/>
      <c r="D6" s="27"/>
      <c r="E6" s="27"/>
      <c r="F6" s="27"/>
      <c r="G6" s="27" t="s">
        <v>48</v>
      </c>
      <c r="H6" s="27"/>
      <c r="I6" s="27"/>
      <c r="J6" s="27"/>
      <c r="K6" s="27"/>
      <c r="L6" s="27"/>
      <c r="N6" s="27" t="s">
        <v>49</v>
      </c>
      <c r="O6" s="27"/>
      <c r="P6" s="27"/>
      <c r="Q6" s="27"/>
      <c r="R6" s="27"/>
      <c r="S6" s="27"/>
      <c r="T6" s="27" t="s">
        <v>48</v>
      </c>
      <c r="U6" s="27"/>
      <c r="V6" s="27"/>
      <c r="W6" s="27"/>
      <c r="X6" s="27"/>
      <c r="Y6" s="27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x14ac:dyDescent="0.3">
      <c r="A7" s="27" t="s">
        <v>3</v>
      </c>
      <c r="B7" s="27"/>
      <c r="C7" s="27" t="s">
        <v>2</v>
      </c>
      <c r="D7" s="27"/>
      <c r="E7" s="27" t="s">
        <v>0</v>
      </c>
      <c r="F7" s="27"/>
      <c r="G7" s="27" t="s">
        <v>3</v>
      </c>
      <c r="H7" s="27"/>
      <c r="I7" s="27" t="s">
        <v>2</v>
      </c>
      <c r="J7" s="27"/>
      <c r="K7" s="27" t="s">
        <v>0</v>
      </c>
      <c r="L7" s="27"/>
      <c r="N7" s="27" t="s">
        <v>3</v>
      </c>
      <c r="O7" s="27"/>
      <c r="P7" s="27" t="s">
        <v>2</v>
      </c>
      <c r="Q7" s="27"/>
      <c r="R7" s="27" t="s">
        <v>0</v>
      </c>
      <c r="S7" s="27"/>
      <c r="T7" s="27" t="s">
        <v>3</v>
      </c>
      <c r="U7" s="27"/>
      <c r="V7" s="27" t="s">
        <v>2</v>
      </c>
      <c r="W7" s="27"/>
      <c r="X7" s="27" t="s">
        <v>0</v>
      </c>
      <c r="Y7" s="27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x14ac:dyDescent="0.3">
      <c r="A8">
        <v>1</v>
      </c>
      <c r="B8">
        <v>2</v>
      </c>
      <c r="C8">
        <v>1</v>
      </c>
      <c r="D8">
        <v>2</v>
      </c>
      <c r="E8">
        <v>1</v>
      </c>
      <c r="F8">
        <v>2</v>
      </c>
      <c r="G8">
        <v>1</v>
      </c>
      <c r="H8">
        <v>2</v>
      </c>
      <c r="I8">
        <v>1</v>
      </c>
      <c r="J8">
        <v>2</v>
      </c>
      <c r="K8">
        <v>1</v>
      </c>
      <c r="L8">
        <v>2</v>
      </c>
      <c r="N8">
        <v>1</v>
      </c>
      <c r="O8">
        <v>2</v>
      </c>
      <c r="P8">
        <v>1</v>
      </c>
      <c r="Q8">
        <v>2</v>
      </c>
      <c r="R8">
        <v>1</v>
      </c>
      <c r="S8">
        <v>2</v>
      </c>
      <c r="T8">
        <v>1</v>
      </c>
      <c r="U8">
        <v>2</v>
      </c>
      <c r="V8">
        <v>1</v>
      </c>
      <c r="W8">
        <v>2</v>
      </c>
      <c r="X8">
        <v>1</v>
      </c>
      <c r="Y8">
        <v>2</v>
      </c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x14ac:dyDescent="0.3">
      <c r="A9" s="1">
        <v>11.767666603288054</v>
      </c>
      <c r="B9" s="1">
        <v>7.7648067823270779</v>
      </c>
      <c r="C9" s="1">
        <v>5.5835924666002521</v>
      </c>
      <c r="D9" s="1">
        <v>7.0669528712609706</v>
      </c>
      <c r="E9" s="1">
        <v>6.9654724061546274</v>
      </c>
      <c r="F9" s="1">
        <v>8.1225530808843835</v>
      </c>
      <c r="G9" s="1">
        <v>17.772340040120792</v>
      </c>
      <c r="H9" s="1">
        <v>26.119954301389647</v>
      </c>
      <c r="I9" s="1">
        <v>27.243981747143309</v>
      </c>
      <c r="J9" s="1">
        <v>24.103709707752962</v>
      </c>
      <c r="K9" s="1">
        <v>31.409054141461777</v>
      </c>
      <c r="L9" s="1">
        <v>18.234700876570862</v>
      </c>
      <c r="M9" s="1"/>
      <c r="N9" s="1">
        <v>11.554148517025039</v>
      </c>
      <c r="O9" s="1">
        <v>19.540104109674697</v>
      </c>
      <c r="P9" s="1">
        <v>20.665364413594595</v>
      </c>
      <c r="Q9" s="1">
        <v>16.979110220899344</v>
      </c>
      <c r="R9" s="1">
        <v>24.032099982739712</v>
      </c>
      <c r="S9" s="1">
        <v>22.296786982550596</v>
      </c>
      <c r="T9" s="1">
        <v>6.9579133277707887</v>
      </c>
      <c r="U9" s="1">
        <v>8.8693534106963803</v>
      </c>
      <c r="V9" s="1">
        <v>11.430691551733744</v>
      </c>
      <c r="W9" s="1">
        <v>8.3703904527577553</v>
      </c>
      <c r="X9" s="1">
        <v>7.4379803965090732</v>
      </c>
      <c r="Y9" s="1">
        <v>8.5138657221991672</v>
      </c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x14ac:dyDescent="0.3">
      <c r="A10" s="23" t="s">
        <v>7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N10" s="26" t="s">
        <v>53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15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x14ac:dyDescent="0.3">
      <c r="A11" s="27" t="s">
        <v>49</v>
      </c>
      <c r="B11" s="27"/>
      <c r="C11" s="27"/>
      <c r="D11" s="27"/>
      <c r="E11" s="27"/>
      <c r="F11" s="27"/>
      <c r="G11" s="27" t="s">
        <v>48</v>
      </c>
      <c r="H11" s="27"/>
      <c r="I11" s="27"/>
      <c r="J11" s="27"/>
      <c r="K11" s="27"/>
      <c r="L11" s="27"/>
      <c r="N11" s="27" t="s">
        <v>49</v>
      </c>
      <c r="O11" s="27"/>
      <c r="P11" s="27"/>
      <c r="Q11" s="27"/>
      <c r="R11" s="27"/>
      <c r="S11" s="27"/>
      <c r="T11" s="27" t="s">
        <v>48</v>
      </c>
      <c r="U11" s="27"/>
      <c r="V11" s="27"/>
      <c r="W11" s="27"/>
      <c r="X11" s="27"/>
      <c r="Y11" s="27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x14ac:dyDescent="0.3">
      <c r="A12" s="27" t="s">
        <v>3</v>
      </c>
      <c r="B12" s="27"/>
      <c r="C12" s="27" t="s">
        <v>2</v>
      </c>
      <c r="D12" s="27"/>
      <c r="E12" s="27" t="s">
        <v>0</v>
      </c>
      <c r="F12" s="27"/>
      <c r="G12" s="27" t="s">
        <v>3</v>
      </c>
      <c r="H12" s="27"/>
      <c r="I12" s="27" t="s">
        <v>2</v>
      </c>
      <c r="J12" s="27"/>
      <c r="K12" s="27" t="s">
        <v>0</v>
      </c>
      <c r="L12" s="27"/>
      <c r="N12" s="27" t="s">
        <v>3</v>
      </c>
      <c r="O12" s="27"/>
      <c r="P12" s="27" t="s">
        <v>2</v>
      </c>
      <c r="Q12" s="27"/>
      <c r="R12" s="27" t="s">
        <v>0</v>
      </c>
      <c r="S12" s="27"/>
      <c r="T12" s="27" t="s">
        <v>3</v>
      </c>
      <c r="U12" s="27"/>
      <c r="V12" s="27" t="s">
        <v>2</v>
      </c>
      <c r="W12" s="27"/>
      <c r="X12" s="27" t="s">
        <v>0</v>
      </c>
      <c r="Y12" s="27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x14ac:dyDescent="0.3">
      <c r="A13">
        <v>1</v>
      </c>
      <c r="B13">
        <v>2</v>
      </c>
      <c r="C13">
        <v>1</v>
      </c>
      <c r="D13">
        <v>2</v>
      </c>
      <c r="E13">
        <v>1</v>
      </c>
      <c r="F13">
        <v>2</v>
      </c>
      <c r="G13">
        <v>1</v>
      </c>
      <c r="H13">
        <v>2</v>
      </c>
      <c r="I13">
        <v>1</v>
      </c>
      <c r="J13">
        <v>2</v>
      </c>
      <c r="K13">
        <v>1</v>
      </c>
      <c r="L13">
        <v>2</v>
      </c>
      <c r="N13">
        <v>1</v>
      </c>
      <c r="O13">
        <v>2</v>
      </c>
      <c r="P13">
        <v>1</v>
      </c>
      <c r="Q13">
        <v>2</v>
      </c>
      <c r="R13">
        <v>1</v>
      </c>
      <c r="S13">
        <v>2</v>
      </c>
      <c r="T13" s="12">
        <v>1</v>
      </c>
      <c r="U13">
        <v>2</v>
      </c>
      <c r="V13" s="12">
        <v>1</v>
      </c>
      <c r="W13">
        <v>2</v>
      </c>
      <c r="X13">
        <v>1</v>
      </c>
      <c r="Y13">
        <v>2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3">
      <c r="A14" s="1">
        <v>2.4750798538921286</v>
      </c>
      <c r="B14" s="1">
        <v>3.7386732529844253</v>
      </c>
      <c r="C14" s="1">
        <v>3.1588856994118752</v>
      </c>
      <c r="D14" s="1">
        <v>4.3559371223469014</v>
      </c>
      <c r="E14" s="1">
        <v>3.1102369535080938</v>
      </c>
      <c r="F14" s="1">
        <v>4.81698829761004</v>
      </c>
      <c r="G14" s="1">
        <v>20.340696399289921</v>
      </c>
      <c r="H14" s="1">
        <v>17.489196904062368</v>
      </c>
      <c r="I14" s="1">
        <v>20.939369427641186</v>
      </c>
      <c r="J14" s="1">
        <v>22.102667729176805</v>
      </c>
      <c r="K14" s="1">
        <v>27.556584920591057</v>
      </c>
      <c r="L14" s="1">
        <v>24.543564245902285</v>
      </c>
      <c r="M14" s="1"/>
      <c r="N14" s="1">
        <v>12.438841165920625</v>
      </c>
      <c r="O14" s="1">
        <v>20.491732556574437</v>
      </c>
      <c r="P14" s="1">
        <v>14.716691023142383</v>
      </c>
      <c r="Q14" s="1">
        <v>12.604247335609985</v>
      </c>
      <c r="R14" s="1">
        <v>17.386614914508066</v>
      </c>
      <c r="S14" s="1">
        <v>15.43811496719251</v>
      </c>
      <c r="T14" s="1">
        <v>12.252289072156668</v>
      </c>
      <c r="U14" s="1">
        <v>30.649766196000012</v>
      </c>
      <c r="V14" s="1">
        <v>16.161559788294269</v>
      </c>
      <c r="W14" s="1">
        <v>20.266938725670077</v>
      </c>
      <c r="X14" s="1">
        <v>24.422514051968342</v>
      </c>
      <c r="Y14" s="1">
        <v>36.633771077952517</v>
      </c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3">
      <c r="A15" s="23" t="s">
        <v>12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N15" s="26" t="s">
        <v>52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37" x14ac:dyDescent="0.3">
      <c r="A16" s="27" t="s">
        <v>49</v>
      </c>
      <c r="B16" s="27"/>
      <c r="C16" s="27"/>
      <c r="D16" s="27"/>
      <c r="E16" s="27"/>
      <c r="F16" s="27"/>
      <c r="G16" s="27" t="s">
        <v>48</v>
      </c>
      <c r="H16" s="27"/>
      <c r="I16" s="27"/>
      <c r="J16" s="27"/>
      <c r="K16" s="27"/>
      <c r="L16" s="27"/>
      <c r="N16" s="27" t="s">
        <v>49</v>
      </c>
      <c r="O16" s="27"/>
      <c r="P16" s="27"/>
      <c r="Q16" s="27"/>
      <c r="R16" s="27"/>
      <c r="S16" s="27"/>
      <c r="T16" s="27" t="s">
        <v>48</v>
      </c>
      <c r="U16" s="27"/>
      <c r="V16" s="27"/>
      <c r="W16" s="27"/>
      <c r="X16" s="27"/>
      <c r="Y16" s="27"/>
    </row>
    <row r="17" spans="1:25" x14ac:dyDescent="0.3">
      <c r="A17" s="27" t="s">
        <v>3</v>
      </c>
      <c r="B17" s="27"/>
      <c r="C17" s="27" t="s">
        <v>2</v>
      </c>
      <c r="D17" s="27"/>
      <c r="E17" s="27" t="s">
        <v>0</v>
      </c>
      <c r="F17" s="27"/>
      <c r="G17" s="27" t="s">
        <v>3</v>
      </c>
      <c r="H17" s="27"/>
      <c r="I17" s="27" t="s">
        <v>2</v>
      </c>
      <c r="J17" s="27"/>
      <c r="K17" s="27" t="s">
        <v>0</v>
      </c>
      <c r="L17" s="27"/>
      <c r="N17" s="27" t="s">
        <v>3</v>
      </c>
      <c r="O17" s="27"/>
      <c r="P17" s="27" t="s">
        <v>2</v>
      </c>
      <c r="Q17" s="27"/>
      <c r="R17" s="27" t="s">
        <v>0</v>
      </c>
      <c r="S17" s="27"/>
      <c r="T17" s="27" t="s">
        <v>3</v>
      </c>
      <c r="U17" s="27"/>
      <c r="V17" s="27" t="s">
        <v>2</v>
      </c>
      <c r="W17" s="27"/>
      <c r="X17" s="27" t="s">
        <v>0</v>
      </c>
      <c r="Y17" s="27"/>
    </row>
    <row r="18" spans="1:25" x14ac:dyDescent="0.3">
      <c r="A18">
        <v>1</v>
      </c>
      <c r="B18">
        <v>2</v>
      </c>
      <c r="C18">
        <v>1</v>
      </c>
      <c r="D18">
        <v>2</v>
      </c>
      <c r="E18">
        <v>1</v>
      </c>
      <c r="F18">
        <v>2</v>
      </c>
      <c r="G18">
        <v>1</v>
      </c>
      <c r="H18">
        <v>2</v>
      </c>
      <c r="I18">
        <v>1</v>
      </c>
      <c r="J18">
        <v>2</v>
      </c>
      <c r="K18">
        <v>1</v>
      </c>
      <c r="L18">
        <v>2</v>
      </c>
      <c r="N18">
        <v>1</v>
      </c>
      <c r="O18">
        <v>2</v>
      </c>
      <c r="P18">
        <v>1</v>
      </c>
      <c r="Q18">
        <v>2</v>
      </c>
      <c r="R18">
        <v>1</v>
      </c>
      <c r="S18">
        <v>2</v>
      </c>
      <c r="T18">
        <v>1</v>
      </c>
      <c r="U18">
        <v>2</v>
      </c>
      <c r="V18">
        <v>1</v>
      </c>
      <c r="W18">
        <v>2</v>
      </c>
      <c r="X18">
        <v>1</v>
      </c>
      <c r="Y18">
        <v>2</v>
      </c>
    </row>
    <row r="19" spans="1:25" x14ac:dyDescent="0.3">
      <c r="A19" s="1">
        <v>10.615594786188714</v>
      </c>
      <c r="B19" s="1">
        <v>9.7521253538192969</v>
      </c>
      <c r="C19" s="1">
        <v>9.3244005575991533</v>
      </c>
      <c r="D19" s="1">
        <v>6.4688028868344132</v>
      </c>
      <c r="E19" s="1">
        <v>6.3690084283601083</v>
      </c>
      <c r="F19" s="1">
        <v>9.46586573756273</v>
      </c>
      <c r="G19" s="1">
        <v>23.58663552506831</v>
      </c>
      <c r="H19" s="1">
        <v>17.222914554195924</v>
      </c>
      <c r="I19" s="1">
        <v>22.991086277608257</v>
      </c>
      <c r="J19" s="1">
        <v>20.70401486779382</v>
      </c>
      <c r="K19" s="1">
        <v>28.409003015421089</v>
      </c>
      <c r="L19" s="1">
        <v>28.927888915246129</v>
      </c>
      <c r="M19" s="1"/>
      <c r="N19" s="1">
        <v>10.615594786188714</v>
      </c>
      <c r="O19" s="1">
        <v>9.7521253538192969</v>
      </c>
      <c r="P19" s="1">
        <v>9.3244005575991533</v>
      </c>
      <c r="Q19" s="1">
        <v>6.4688028868344132</v>
      </c>
      <c r="R19" s="1">
        <v>6.3690084283601083</v>
      </c>
      <c r="S19" s="1">
        <v>9.46586573756273</v>
      </c>
      <c r="T19" s="1">
        <v>23.58663552506831</v>
      </c>
      <c r="U19" s="1">
        <v>17.222914554195924</v>
      </c>
      <c r="V19" s="1">
        <v>22.991086277608257</v>
      </c>
      <c r="W19" s="1">
        <v>20.70401486779382</v>
      </c>
      <c r="X19" s="1">
        <v>28.409003015421089</v>
      </c>
      <c r="Y19" s="1">
        <v>28.927888915246129</v>
      </c>
    </row>
    <row r="20" spans="1:25" x14ac:dyDescent="0.3">
      <c r="A20" s="23" t="s">
        <v>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N20" s="26" t="s">
        <v>51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x14ac:dyDescent="0.3">
      <c r="A21" s="27" t="s">
        <v>49</v>
      </c>
      <c r="B21" s="27"/>
      <c r="C21" s="27"/>
      <c r="D21" s="27"/>
      <c r="E21" s="27"/>
      <c r="F21" s="27"/>
      <c r="G21" s="27" t="s">
        <v>48</v>
      </c>
      <c r="H21" s="27"/>
      <c r="I21" s="27"/>
      <c r="J21" s="27"/>
      <c r="K21" s="27"/>
      <c r="L21" s="27"/>
      <c r="N21" s="27" t="s">
        <v>49</v>
      </c>
      <c r="O21" s="27"/>
      <c r="P21" s="27"/>
      <c r="Q21" s="27"/>
      <c r="R21" s="27"/>
      <c r="S21" s="27"/>
      <c r="T21" s="27" t="s">
        <v>48</v>
      </c>
      <c r="U21" s="27"/>
      <c r="V21" s="27"/>
      <c r="W21" s="27"/>
      <c r="X21" s="27"/>
      <c r="Y21" s="27"/>
    </row>
    <row r="22" spans="1:25" x14ac:dyDescent="0.3">
      <c r="A22" s="27" t="s">
        <v>3</v>
      </c>
      <c r="B22" s="27"/>
      <c r="C22" s="27" t="s">
        <v>2</v>
      </c>
      <c r="D22" s="27"/>
      <c r="E22" s="27" t="s">
        <v>0</v>
      </c>
      <c r="F22" s="27"/>
      <c r="G22" s="27" t="s">
        <v>3</v>
      </c>
      <c r="H22" s="27"/>
      <c r="I22" s="27" t="s">
        <v>2</v>
      </c>
      <c r="J22" s="27"/>
      <c r="K22" s="27" t="s">
        <v>0</v>
      </c>
      <c r="L22" s="27"/>
      <c r="N22" s="27" t="s">
        <v>3</v>
      </c>
      <c r="O22" s="27"/>
      <c r="P22" s="27" t="s">
        <v>2</v>
      </c>
      <c r="Q22" s="27"/>
      <c r="R22" s="27" t="s">
        <v>0</v>
      </c>
      <c r="S22" s="27"/>
      <c r="T22" s="27" t="s">
        <v>3</v>
      </c>
      <c r="U22" s="27"/>
      <c r="V22" s="27" t="s">
        <v>2</v>
      </c>
      <c r="W22" s="27"/>
      <c r="X22" s="27" t="s">
        <v>0</v>
      </c>
      <c r="Y22" s="27"/>
    </row>
    <row r="23" spans="1:25" x14ac:dyDescent="0.3">
      <c r="A23">
        <v>1</v>
      </c>
      <c r="B23">
        <v>2</v>
      </c>
      <c r="C23">
        <v>1</v>
      </c>
      <c r="D23">
        <v>2</v>
      </c>
      <c r="E23">
        <v>1</v>
      </c>
      <c r="F23">
        <v>2</v>
      </c>
      <c r="G23">
        <v>1</v>
      </c>
      <c r="H23">
        <v>2</v>
      </c>
      <c r="I23">
        <v>1</v>
      </c>
      <c r="J23" s="13">
        <v>2</v>
      </c>
      <c r="K23">
        <v>1</v>
      </c>
      <c r="L23">
        <v>2</v>
      </c>
      <c r="N23">
        <v>1</v>
      </c>
      <c r="O23">
        <v>2</v>
      </c>
      <c r="P23">
        <v>1</v>
      </c>
      <c r="Q23">
        <v>2</v>
      </c>
      <c r="R23">
        <v>1</v>
      </c>
      <c r="S23">
        <v>2</v>
      </c>
      <c r="T23">
        <v>1</v>
      </c>
      <c r="U23" s="12">
        <v>2</v>
      </c>
      <c r="V23">
        <v>1</v>
      </c>
      <c r="W23">
        <v>2</v>
      </c>
      <c r="X23">
        <v>1</v>
      </c>
      <c r="Y23">
        <v>2</v>
      </c>
    </row>
    <row r="24" spans="1:25" x14ac:dyDescent="0.3">
      <c r="A24" s="1">
        <v>6.8237054009249141</v>
      </c>
      <c r="B24" s="1">
        <v>7.834624719580459</v>
      </c>
      <c r="C24" s="1">
        <v>5.8990347150811173</v>
      </c>
      <c r="D24" s="1">
        <v>5.9760623718612838</v>
      </c>
      <c r="E24" s="1">
        <v>4.6511616430419727</v>
      </c>
      <c r="F24" s="1">
        <v>6.9705738151690051</v>
      </c>
      <c r="G24" s="1">
        <v>25.32764184602776</v>
      </c>
      <c r="H24" s="1">
        <v>20.445204863660962</v>
      </c>
      <c r="I24" s="1">
        <v>26.512818116618291</v>
      </c>
      <c r="J24" s="1">
        <v>13.343184564690342</v>
      </c>
      <c r="K24" s="1">
        <v>25.507959120944715</v>
      </c>
      <c r="L24" s="1">
        <v>16.721884312619313</v>
      </c>
      <c r="M24" s="1"/>
      <c r="N24" s="1">
        <v>9.0235524064915502</v>
      </c>
      <c r="O24" s="1">
        <v>8.3404946546057364</v>
      </c>
      <c r="P24" s="1">
        <v>9.4400181248347987</v>
      </c>
      <c r="Q24" s="1">
        <v>8.6088215603839373</v>
      </c>
      <c r="R24" s="1">
        <v>9.2935542419549222</v>
      </c>
      <c r="S24" s="1">
        <v>9.2516913850091793</v>
      </c>
      <c r="T24" s="1">
        <v>19.902655623751336</v>
      </c>
      <c r="U24" s="1">
        <v>11.037330178873233</v>
      </c>
      <c r="V24" s="1">
        <v>31.970159671086538</v>
      </c>
      <c r="W24" s="1">
        <v>28.676878563922315</v>
      </c>
      <c r="X24" s="1">
        <v>27.114794170273019</v>
      </c>
      <c r="Y24" s="1">
        <v>27.644568123866275</v>
      </c>
    </row>
    <row r="25" spans="1:25" x14ac:dyDescent="0.3">
      <c r="A25" s="23" t="s">
        <v>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N25" s="23" t="s">
        <v>50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x14ac:dyDescent="0.3">
      <c r="A26" s="27" t="s">
        <v>49</v>
      </c>
      <c r="B26" s="27"/>
      <c r="C26" s="27"/>
      <c r="D26" s="27"/>
      <c r="E26" s="27"/>
      <c r="F26" s="27"/>
      <c r="G26" s="27" t="s">
        <v>48</v>
      </c>
      <c r="H26" s="27"/>
      <c r="I26" s="27"/>
      <c r="J26" s="27"/>
      <c r="K26" s="27"/>
      <c r="L26" s="27"/>
      <c r="N26" s="27" t="s">
        <v>49</v>
      </c>
      <c r="O26" s="27"/>
      <c r="P26" s="27"/>
      <c r="Q26" s="27"/>
      <c r="R26" s="27"/>
      <c r="S26" s="27"/>
      <c r="T26" s="27" t="s">
        <v>48</v>
      </c>
      <c r="U26" s="27"/>
      <c r="V26" s="27"/>
      <c r="W26" s="27"/>
      <c r="X26" s="27"/>
      <c r="Y26" s="27"/>
    </row>
    <row r="27" spans="1:25" x14ac:dyDescent="0.3">
      <c r="A27" s="27" t="s">
        <v>3</v>
      </c>
      <c r="B27" s="27"/>
      <c r="C27" s="27" t="s">
        <v>2</v>
      </c>
      <c r="D27" s="27"/>
      <c r="E27" s="27" t="s">
        <v>0</v>
      </c>
      <c r="F27" s="27"/>
      <c r="G27" s="27" t="s">
        <v>3</v>
      </c>
      <c r="H27" s="27"/>
      <c r="I27" s="27" t="s">
        <v>2</v>
      </c>
      <c r="J27" s="27"/>
      <c r="K27" s="27" t="s">
        <v>0</v>
      </c>
      <c r="L27" s="27"/>
      <c r="N27" s="27" t="s">
        <v>3</v>
      </c>
      <c r="O27" s="27"/>
      <c r="P27" s="27" t="s">
        <v>2</v>
      </c>
      <c r="Q27" s="27"/>
      <c r="R27" s="27" t="s">
        <v>0</v>
      </c>
      <c r="S27" s="27"/>
      <c r="T27" s="27" t="s">
        <v>3</v>
      </c>
      <c r="U27" s="27"/>
      <c r="V27" s="27" t="s">
        <v>2</v>
      </c>
      <c r="W27" s="27"/>
      <c r="X27" s="27" t="s">
        <v>0</v>
      </c>
      <c r="Y27" s="27"/>
    </row>
    <row r="28" spans="1:25" x14ac:dyDescent="0.3">
      <c r="A28">
        <v>1</v>
      </c>
      <c r="B28">
        <v>2</v>
      </c>
      <c r="C28">
        <v>1</v>
      </c>
      <c r="D28">
        <v>2</v>
      </c>
      <c r="E28">
        <v>1</v>
      </c>
      <c r="F28">
        <v>2</v>
      </c>
      <c r="G28">
        <v>1</v>
      </c>
      <c r="H28">
        <v>2</v>
      </c>
      <c r="I28">
        <v>1</v>
      </c>
      <c r="J28">
        <v>2</v>
      </c>
      <c r="K28">
        <v>1</v>
      </c>
      <c r="L28">
        <v>2</v>
      </c>
      <c r="N28">
        <v>1</v>
      </c>
      <c r="O28">
        <v>2</v>
      </c>
      <c r="P28">
        <v>1</v>
      </c>
      <c r="Q28">
        <v>2</v>
      </c>
      <c r="R28">
        <v>1</v>
      </c>
      <c r="S28">
        <v>2</v>
      </c>
      <c r="T28">
        <v>1</v>
      </c>
      <c r="U28">
        <v>2</v>
      </c>
      <c r="V28">
        <v>1</v>
      </c>
      <c r="W28">
        <v>2</v>
      </c>
      <c r="X28">
        <v>1</v>
      </c>
      <c r="Y28">
        <v>2</v>
      </c>
    </row>
    <row r="29" spans="1:25" x14ac:dyDescent="0.3">
      <c r="A29" s="1">
        <v>1.315547791234255</v>
      </c>
      <c r="B29" s="1">
        <v>0.87577895816451856</v>
      </c>
      <c r="C29" s="1">
        <v>1.0785637333411506</v>
      </c>
      <c r="D29" s="1">
        <v>1.1992984796106823</v>
      </c>
      <c r="E29" s="1">
        <v>0.78506361232337618</v>
      </c>
      <c r="F29" s="1">
        <v>0.30384869439923262</v>
      </c>
      <c r="G29" s="1">
        <v>1.4423205915808766</v>
      </c>
      <c r="H29" s="1">
        <v>1.3773713798117635</v>
      </c>
      <c r="I29" s="1">
        <v>1.6860079927952132</v>
      </c>
      <c r="J29" s="1">
        <v>1.6300678254495884</v>
      </c>
      <c r="K29" s="1">
        <v>1.7865153063016033</v>
      </c>
      <c r="L29" s="1">
        <v>1.6534090247317061</v>
      </c>
      <c r="M29" s="1"/>
      <c r="N29" s="1">
        <v>6.4835477973547126</v>
      </c>
      <c r="O29" s="1">
        <v>10.672506662312284</v>
      </c>
      <c r="P29" s="1">
        <v>7.9711638054983283</v>
      </c>
      <c r="Q29" s="1">
        <v>11.207576177655547</v>
      </c>
      <c r="R29" s="1">
        <v>11.966796678347361</v>
      </c>
      <c r="S29" s="1">
        <v>14.442685646281298</v>
      </c>
      <c r="T29" s="1">
        <v>29.504679735298865</v>
      </c>
      <c r="U29" s="1">
        <v>25.661906877942059</v>
      </c>
      <c r="V29" s="1">
        <v>27.720978405410239</v>
      </c>
      <c r="W29" s="1">
        <v>34.360036258806808</v>
      </c>
      <c r="X29" s="1">
        <v>22.438615758857946</v>
      </c>
      <c r="Y29" s="1">
        <v>25.58421609888476</v>
      </c>
    </row>
    <row r="30" spans="1:25" x14ac:dyDescent="0.3">
      <c r="A30" s="23" t="s">
        <v>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5" x14ac:dyDescent="0.3">
      <c r="A31" s="27" t="s">
        <v>49</v>
      </c>
      <c r="B31" s="27"/>
      <c r="C31" s="27"/>
      <c r="D31" s="27"/>
      <c r="E31" s="27"/>
      <c r="F31" s="27"/>
      <c r="G31" s="27" t="s">
        <v>48</v>
      </c>
      <c r="H31" s="27"/>
      <c r="I31" s="27"/>
      <c r="J31" s="27"/>
      <c r="K31" s="27"/>
      <c r="L31" s="27"/>
    </row>
    <row r="32" spans="1:25" x14ac:dyDescent="0.3">
      <c r="A32" s="27" t="s">
        <v>3</v>
      </c>
      <c r="B32" s="27"/>
      <c r="C32" s="27" t="s">
        <v>2</v>
      </c>
      <c r="D32" s="27"/>
      <c r="E32" s="27" t="s">
        <v>0</v>
      </c>
      <c r="F32" s="27"/>
      <c r="G32" s="27" t="s">
        <v>3</v>
      </c>
      <c r="H32" s="27"/>
      <c r="I32" s="27" t="s">
        <v>2</v>
      </c>
      <c r="J32" s="27"/>
      <c r="K32" s="27" t="s">
        <v>0</v>
      </c>
      <c r="L32" s="27"/>
      <c r="N32" t="s">
        <v>73</v>
      </c>
    </row>
    <row r="33" spans="1:20" x14ac:dyDescent="0.3">
      <c r="A33">
        <v>1</v>
      </c>
      <c r="B33">
        <v>2</v>
      </c>
      <c r="C33">
        <v>1</v>
      </c>
      <c r="D33">
        <v>2</v>
      </c>
      <c r="E33">
        <v>1</v>
      </c>
      <c r="F33">
        <v>2</v>
      </c>
      <c r="G33">
        <v>1</v>
      </c>
      <c r="H33">
        <v>2</v>
      </c>
      <c r="I33">
        <v>1</v>
      </c>
      <c r="J33">
        <v>2</v>
      </c>
      <c r="K33">
        <v>1</v>
      </c>
      <c r="L33">
        <v>2</v>
      </c>
    </row>
    <row r="34" spans="1:20" x14ac:dyDescent="0.3">
      <c r="A34" s="1">
        <v>7.508921243735478E-2</v>
      </c>
      <c r="B34" s="1">
        <v>0.1906562034542211</v>
      </c>
      <c r="C34" s="1">
        <v>7.3919153531172496E-2</v>
      </c>
      <c r="D34" s="1">
        <v>6.3618943612894371E-2</v>
      </c>
      <c r="E34" s="1">
        <v>0.16834025908378547</v>
      </c>
      <c r="F34" s="1">
        <v>0.13757462552709365</v>
      </c>
      <c r="G34" s="1">
        <v>0.60904561178134042</v>
      </c>
      <c r="H34" s="1">
        <v>0.46211632022319604</v>
      </c>
      <c r="I34" s="1">
        <v>0.51181637116738143</v>
      </c>
      <c r="J34" s="1">
        <v>0.24679364746701135</v>
      </c>
      <c r="K34" s="1">
        <v>0.27931504443320188</v>
      </c>
      <c r="L34" s="1">
        <v>0.48736975862376453</v>
      </c>
    </row>
    <row r="35" spans="1:20" x14ac:dyDescent="0.3">
      <c r="N35" s="14"/>
      <c r="O35" s="14"/>
      <c r="P35" s="14"/>
      <c r="Q35" s="14"/>
      <c r="R35" s="14"/>
      <c r="S35" s="14"/>
    </row>
    <row r="36" spans="1:20" x14ac:dyDescent="0.3">
      <c r="A36" s="25"/>
      <c r="B36" s="25"/>
      <c r="C36" s="25"/>
      <c r="D36" s="25"/>
      <c r="E36" s="25"/>
      <c r="F36" s="25"/>
      <c r="G36" s="25"/>
      <c r="H36" s="11"/>
      <c r="N36" s="25"/>
      <c r="O36" s="25"/>
      <c r="P36" s="25"/>
      <c r="Q36" s="25"/>
      <c r="R36" s="25"/>
      <c r="S36" s="25"/>
      <c r="T36" s="11"/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N37" s="14"/>
      <c r="O37" s="14"/>
      <c r="P37" s="14"/>
      <c r="Q37" s="14"/>
      <c r="R37" s="14"/>
      <c r="S37" s="14"/>
    </row>
    <row r="38" spans="1:20" x14ac:dyDescent="0.3">
      <c r="A38" s="14"/>
      <c r="B38" s="18"/>
      <c r="C38" s="18"/>
      <c r="D38" s="19"/>
      <c r="E38" s="19"/>
      <c r="F38" s="19"/>
      <c r="G38" s="19"/>
      <c r="H38" s="14"/>
      <c r="N38" s="14"/>
      <c r="O38" s="19"/>
      <c r="P38" s="19"/>
      <c r="Q38" s="19"/>
      <c r="R38" s="19"/>
      <c r="S38" s="19"/>
    </row>
    <row r="39" spans="1:20" x14ac:dyDescent="0.3">
      <c r="A39" s="14"/>
      <c r="B39" s="18"/>
      <c r="C39" s="18"/>
      <c r="D39" s="19"/>
      <c r="E39" s="19"/>
      <c r="F39" s="19"/>
      <c r="G39" s="19"/>
      <c r="H39" s="14"/>
      <c r="N39" s="14"/>
      <c r="O39" s="19"/>
      <c r="P39" s="19"/>
      <c r="Q39" s="19"/>
      <c r="R39" s="19"/>
      <c r="S39" s="19"/>
    </row>
    <row r="40" spans="1:20" x14ac:dyDescent="0.3">
      <c r="A40" s="14"/>
      <c r="B40" s="18"/>
      <c r="C40" s="18"/>
      <c r="D40" s="19"/>
      <c r="E40" s="19"/>
      <c r="F40" s="19"/>
      <c r="G40" s="19"/>
      <c r="H40" s="14"/>
      <c r="N40" s="14"/>
      <c r="O40" s="19"/>
      <c r="P40" s="19"/>
      <c r="Q40" s="19"/>
      <c r="R40" s="19"/>
      <c r="S40" s="19"/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N41" s="14"/>
      <c r="O41" s="14"/>
      <c r="P41" s="14"/>
      <c r="Q41" s="14"/>
      <c r="R41" s="14"/>
      <c r="S41" s="14"/>
    </row>
    <row r="42" spans="1:20" x14ac:dyDescent="0.3">
      <c r="A42" s="25"/>
      <c r="B42" s="25"/>
      <c r="C42" s="25"/>
      <c r="D42" s="25"/>
      <c r="E42" s="25"/>
      <c r="F42" s="25"/>
      <c r="G42" s="25"/>
      <c r="H42" s="11"/>
      <c r="N42" s="25"/>
      <c r="O42" s="25"/>
      <c r="P42" s="25"/>
      <c r="Q42" s="25"/>
      <c r="R42" s="25"/>
      <c r="S42" s="25"/>
      <c r="T42" s="11"/>
    </row>
    <row r="43" spans="1:20" x14ac:dyDescent="0.3">
      <c r="N43" s="14"/>
      <c r="O43" s="14"/>
      <c r="P43" s="14"/>
      <c r="Q43" s="14"/>
      <c r="R43" s="14"/>
      <c r="S43" s="14"/>
    </row>
    <row r="44" spans="1:20" x14ac:dyDescent="0.3">
      <c r="B44" s="3"/>
      <c r="C44" s="2"/>
      <c r="D44" s="2"/>
      <c r="E44" s="2"/>
      <c r="F44" s="2"/>
      <c r="G44" s="2"/>
      <c r="N44" s="14"/>
      <c r="O44" s="19"/>
      <c r="P44" s="19"/>
      <c r="Q44" s="19"/>
      <c r="R44" s="19"/>
      <c r="S44" s="19"/>
    </row>
    <row r="45" spans="1:20" x14ac:dyDescent="0.3">
      <c r="B45" s="2"/>
      <c r="C45" s="2"/>
      <c r="D45" s="2"/>
      <c r="E45" s="2"/>
      <c r="F45" s="2"/>
      <c r="G45" s="2"/>
      <c r="N45" s="14"/>
      <c r="O45" s="19"/>
      <c r="P45" s="19"/>
      <c r="Q45" s="19"/>
      <c r="R45" s="19"/>
      <c r="S45" s="19"/>
    </row>
    <row r="46" spans="1:20" x14ac:dyDescent="0.3">
      <c r="B46" s="2"/>
      <c r="C46" s="2"/>
      <c r="D46" s="2"/>
      <c r="E46" s="2"/>
      <c r="F46" s="2"/>
      <c r="G46" s="2"/>
      <c r="N46" s="14"/>
      <c r="O46" s="19"/>
      <c r="P46" s="19"/>
      <c r="Q46" s="19"/>
      <c r="R46" s="19"/>
      <c r="S46" s="19"/>
    </row>
    <row r="47" spans="1:20" x14ac:dyDescent="0.3">
      <c r="N47" s="14"/>
      <c r="O47" s="14"/>
      <c r="P47" s="14"/>
      <c r="Q47" s="14"/>
      <c r="R47" s="14"/>
      <c r="S47" s="14"/>
    </row>
  </sheetData>
  <mergeCells count="105">
    <mergeCell ref="A3:L3"/>
    <mergeCell ref="A5:L5"/>
    <mergeCell ref="A6:F6"/>
    <mergeCell ref="G6:L6"/>
    <mergeCell ref="A7:B7"/>
    <mergeCell ref="C7:D7"/>
    <mergeCell ref="E7:F7"/>
    <mergeCell ref="G7:H7"/>
    <mergeCell ref="I7:J7"/>
    <mergeCell ref="K7:L7"/>
    <mergeCell ref="A10:L10"/>
    <mergeCell ref="A11:F11"/>
    <mergeCell ref="G11:L11"/>
    <mergeCell ref="A12:B12"/>
    <mergeCell ref="C12:D12"/>
    <mergeCell ref="E12:F12"/>
    <mergeCell ref="G12:H12"/>
    <mergeCell ref="I12:J12"/>
    <mergeCell ref="K12:L12"/>
    <mergeCell ref="A20:L20"/>
    <mergeCell ref="A21:F21"/>
    <mergeCell ref="G21:L21"/>
    <mergeCell ref="A22:B22"/>
    <mergeCell ref="C22:D22"/>
    <mergeCell ref="G22:H22"/>
    <mergeCell ref="I22:J22"/>
    <mergeCell ref="K22:L22"/>
    <mergeCell ref="G16:L16"/>
    <mergeCell ref="A17:B17"/>
    <mergeCell ref="C17:D17"/>
    <mergeCell ref="E17:F17"/>
    <mergeCell ref="I17:J17"/>
    <mergeCell ref="K17:L17"/>
    <mergeCell ref="R12:S12"/>
    <mergeCell ref="T12:U12"/>
    <mergeCell ref="A30:L30"/>
    <mergeCell ref="A31:F31"/>
    <mergeCell ref="G31:L31"/>
    <mergeCell ref="E22:F22"/>
    <mergeCell ref="A25:L25"/>
    <mergeCell ref="A26:F26"/>
    <mergeCell ref="A15:L15"/>
    <mergeCell ref="A16:F16"/>
    <mergeCell ref="X22:Y22"/>
    <mergeCell ref="N15:Y15"/>
    <mergeCell ref="N11:S11"/>
    <mergeCell ref="T11:Y11"/>
    <mergeCell ref="N12:O12"/>
    <mergeCell ref="C27:D27"/>
    <mergeCell ref="N20:Y20"/>
    <mergeCell ref="N21:S21"/>
    <mergeCell ref="T21:Y21"/>
    <mergeCell ref="P12:Q12"/>
    <mergeCell ref="P22:Q22"/>
    <mergeCell ref="R22:S22"/>
    <mergeCell ref="E27:F27"/>
    <mergeCell ref="G27:H27"/>
    <mergeCell ref="I27:J27"/>
    <mergeCell ref="K27:L27"/>
    <mergeCell ref="A36:G36"/>
    <mergeCell ref="A42:G42"/>
    <mergeCell ref="C32:D32"/>
    <mergeCell ref="E32:F32"/>
    <mergeCell ref="G32:H32"/>
    <mergeCell ref="I32:J32"/>
    <mergeCell ref="T27:U27"/>
    <mergeCell ref="V27:W27"/>
    <mergeCell ref="N10:Y10"/>
    <mergeCell ref="P7:Q7"/>
    <mergeCell ref="R7:S7"/>
    <mergeCell ref="T7:U7"/>
    <mergeCell ref="V7:W7"/>
    <mergeCell ref="X7:Y7"/>
    <mergeCell ref="V12:W12"/>
    <mergeCell ref="X12:Y12"/>
    <mergeCell ref="N22:O22"/>
    <mergeCell ref="T22:U22"/>
    <mergeCell ref="N16:S16"/>
    <mergeCell ref="T16:Y16"/>
    <mergeCell ref="N17:O17"/>
    <mergeCell ref="A32:B32"/>
    <mergeCell ref="K32:L32"/>
    <mergeCell ref="G26:L26"/>
    <mergeCell ref="A27:B27"/>
    <mergeCell ref="G17:H17"/>
    <mergeCell ref="V17:W17"/>
    <mergeCell ref="X17:Y17"/>
    <mergeCell ref="N42:S42"/>
    <mergeCell ref="N3:Y3"/>
    <mergeCell ref="N25:Y25"/>
    <mergeCell ref="N26:S26"/>
    <mergeCell ref="T26:Y26"/>
    <mergeCell ref="N27:O27"/>
    <mergeCell ref="P27:Q27"/>
    <mergeCell ref="R27:S27"/>
    <mergeCell ref="N36:S36"/>
    <mergeCell ref="N5:Y5"/>
    <mergeCell ref="N6:S6"/>
    <mergeCell ref="T6:Y6"/>
    <mergeCell ref="N7:O7"/>
    <mergeCell ref="V22:W22"/>
    <mergeCell ref="X27:Y27"/>
    <mergeCell ref="P17:Q17"/>
    <mergeCell ref="R17:S17"/>
    <mergeCell ref="T17:U1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workbookViewId="0">
      <selection activeCell="C10" sqref="C10"/>
    </sheetView>
  </sheetViews>
  <sheetFormatPr baseColWidth="10" defaultRowHeight="14.4" x14ac:dyDescent="0.3"/>
  <sheetData>
    <row r="1" spans="1:11" x14ac:dyDescent="0.3">
      <c r="A1" s="8" t="s">
        <v>47</v>
      </c>
    </row>
    <row r="2" spans="1:11" x14ac:dyDescent="0.3">
      <c r="A2" t="s">
        <v>95</v>
      </c>
    </row>
    <row r="3" spans="1:11" x14ac:dyDescent="0.3">
      <c r="A3" s="8" t="s">
        <v>96</v>
      </c>
    </row>
    <row r="4" spans="1:11" x14ac:dyDescent="0.3">
      <c r="A4" t="s">
        <v>97</v>
      </c>
    </row>
    <row r="5" spans="1:11" x14ac:dyDescent="0.3">
      <c r="A5" s="21" t="s">
        <v>98</v>
      </c>
      <c r="D5" t="s">
        <v>99</v>
      </c>
    </row>
    <row r="7" spans="1:11" x14ac:dyDescent="0.3">
      <c r="A7" s="23" t="s">
        <v>100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9" spans="1:11" x14ac:dyDescent="0.3">
      <c r="A9" s="29" t="s">
        <v>3</v>
      </c>
      <c r="B9" s="29"/>
      <c r="C9" s="29"/>
      <c r="E9" s="29" t="s">
        <v>2</v>
      </c>
      <c r="F9" s="29"/>
      <c r="G9" s="29"/>
      <c r="I9" s="29" t="s">
        <v>0</v>
      </c>
      <c r="J9" s="29"/>
      <c r="K9" s="29"/>
    </row>
    <row r="10" spans="1:11" x14ac:dyDescent="0.3">
      <c r="A10" s="4" t="s">
        <v>47</v>
      </c>
      <c r="B10" s="4" t="s">
        <v>101</v>
      </c>
      <c r="C10" s="22" t="s">
        <v>102</v>
      </c>
      <c r="E10" s="4" t="s">
        <v>47</v>
      </c>
      <c r="F10" s="4" t="s">
        <v>101</v>
      </c>
      <c r="G10" s="22" t="s">
        <v>102</v>
      </c>
      <c r="I10" s="4" t="s">
        <v>47</v>
      </c>
      <c r="J10" s="4" t="s">
        <v>101</v>
      </c>
      <c r="K10" s="22" t="s">
        <v>102</v>
      </c>
    </row>
    <row r="11" spans="1:11" x14ac:dyDescent="0.3">
      <c r="A11" s="7">
        <v>3.2911911885624603</v>
      </c>
      <c r="B11" s="2">
        <v>1.3274336283185844</v>
      </c>
      <c r="C11" s="2">
        <v>2.2204460492503131E-16</v>
      </c>
      <c r="D11" s="7"/>
      <c r="E11" s="7">
        <v>3.3504806137955305</v>
      </c>
      <c r="F11" s="2">
        <v>0.18963337547408349</v>
      </c>
      <c r="G11" s="2">
        <v>0.18963337547408349</v>
      </c>
      <c r="H11" s="7"/>
      <c r="I11" s="7">
        <v>3.3037143086537104</v>
      </c>
      <c r="J11" s="2">
        <v>1.9911504424778768</v>
      </c>
      <c r="K11" s="2">
        <v>9.4816687737041661E-2</v>
      </c>
    </row>
    <row r="12" spans="1:11" x14ac:dyDescent="0.3">
      <c r="A12" s="7">
        <v>3.1772478362556233</v>
      </c>
      <c r="B12" s="2">
        <v>3.5082174462705442</v>
      </c>
      <c r="C12" s="2">
        <v>0.85335018963337539</v>
      </c>
      <c r="D12" s="7"/>
      <c r="E12" s="7">
        <v>3.236537261488694</v>
      </c>
      <c r="F12" s="2">
        <v>0.37926675094816698</v>
      </c>
      <c r="G12" s="2">
        <v>0.18963337547408354</v>
      </c>
      <c r="H12" s="7"/>
      <c r="I12" s="7">
        <v>3.1897709563468739</v>
      </c>
      <c r="J12" s="2">
        <v>2.6548672566371687</v>
      </c>
      <c r="K12" s="2">
        <v>0.18963337547408354</v>
      </c>
    </row>
    <row r="13" spans="1:11" x14ac:dyDescent="0.3">
      <c r="A13" s="7">
        <v>3.0980665902079987</v>
      </c>
      <c r="B13" s="2">
        <v>7.6801517067003813</v>
      </c>
      <c r="C13" s="2">
        <v>0.66371681415929284</v>
      </c>
      <c r="D13" s="7"/>
      <c r="E13" s="7">
        <v>3.1573560154410694</v>
      </c>
      <c r="F13" s="2">
        <v>0.56890012642225052</v>
      </c>
      <c r="G13" s="2">
        <v>0.37926675094816709</v>
      </c>
      <c r="H13" s="7"/>
      <c r="I13" s="7">
        <v>3.1105897102992488</v>
      </c>
      <c r="J13" s="2">
        <v>2.6548672566371687</v>
      </c>
      <c r="K13" s="2">
        <v>0.94816687737041727</v>
      </c>
    </row>
    <row r="14" spans="1:11" x14ac:dyDescent="0.3">
      <c r="A14" s="7">
        <v>3.001156577199942</v>
      </c>
      <c r="B14" s="2">
        <v>17.067003792667514</v>
      </c>
      <c r="C14" s="2">
        <v>13.653603034134012</v>
      </c>
      <c r="D14" s="7"/>
      <c r="E14" s="7">
        <v>3.0604460024330127</v>
      </c>
      <c r="F14" s="2">
        <v>5.3097345132743383</v>
      </c>
      <c r="G14" s="2">
        <v>1.5170670037926661</v>
      </c>
      <c r="H14" s="7"/>
      <c r="I14" s="7">
        <v>3.0136796972911926</v>
      </c>
      <c r="J14" s="2">
        <v>6.7319848293299627</v>
      </c>
      <c r="K14" s="2">
        <v>3.8874841972187109</v>
      </c>
    </row>
    <row r="15" spans="1:11" x14ac:dyDescent="0.3">
      <c r="A15" s="7">
        <v>2.8762178405916421</v>
      </c>
      <c r="B15" s="2">
        <v>52.907711757269297</v>
      </c>
      <c r="C15" s="2">
        <v>25.031605562579017</v>
      </c>
      <c r="D15" s="7"/>
      <c r="E15" s="7">
        <v>2.9355072658247128</v>
      </c>
      <c r="F15" s="2">
        <v>20.101137800252847</v>
      </c>
      <c r="G15" s="2">
        <v>5.4993678887484245</v>
      </c>
      <c r="H15" s="7"/>
      <c r="I15" s="7">
        <v>2.8887409606828927</v>
      </c>
      <c r="J15" s="2">
        <v>18.394437420986097</v>
      </c>
      <c r="K15" s="2">
        <v>4.7408343868520877</v>
      </c>
    </row>
    <row r="16" spans="1:11" x14ac:dyDescent="0.3">
      <c r="A16" s="7">
        <v>2.5843312243675309</v>
      </c>
      <c r="B16" s="2">
        <v>84.197218710493075</v>
      </c>
      <c r="C16" s="2">
        <v>5.3097345132743285</v>
      </c>
      <c r="D16" s="7"/>
      <c r="E16" s="7">
        <v>2.7594160067690314</v>
      </c>
      <c r="F16" s="2">
        <v>29.487989886219985</v>
      </c>
      <c r="G16" s="2">
        <v>12.800252844500635</v>
      </c>
      <c r="H16" s="7"/>
      <c r="I16" s="7">
        <v>2.7126497016272113</v>
      </c>
      <c r="J16" s="2">
        <v>78.034134007585365</v>
      </c>
      <c r="K16" s="2">
        <v>8.817951959544887</v>
      </c>
    </row>
    <row r="17" spans="1:11" x14ac:dyDescent="0.3">
      <c r="A17" s="7">
        <v>2.459392487759231</v>
      </c>
      <c r="B17" s="2">
        <v>93.015170670037946</v>
      </c>
      <c r="C17" s="2">
        <v>3.5082174462705495</v>
      </c>
      <c r="D17" s="7"/>
      <c r="E17" s="7">
        <v>2.6344772701607315</v>
      </c>
      <c r="F17" s="2">
        <v>89.886219974715573</v>
      </c>
      <c r="G17" s="2">
        <v>10.42983565107455</v>
      </c>
      <c r="H17" s="7"/>
      <c r="I17" s="7">
        <v>2.5877109650189114</v>
      </c>
      <c r="J17" s="2">
        <v>88.558786346396971</v>
      </c>
      <c r="K17" s="2">
        <v>2.8445006321112487</v>
      </c>
    </row>
    <row r="18" spans="1:11" x14ac:dyDescent="0.3">
      <c r="A18" s="7">
        <v>2.2833012287035497</v>
      </c>
      <c r="B18" s="2">
        <v>104.48798988621999</v>
      </c>
      <c r="C18" s="2">
        <v>1.1378002528444995</v>
      </c>
      <c r="D18" s="7"/>
      <c r="E18" s="7">
        <v>2.4583860111050506</v>
      </c>
      <c r="F18" s="2">
        <v>108.65992414664983</v>
      </c>
      <c r="G18" s="2">
        <v>2.6548672566371607</v>
      </c>
      <c r="H18" s="7"/>
      <c r="I18" s="7">
        <v>2.4116197059632301</v>
      </c>
      <c r="J18" s="2">
        <v>102.87610619469028</v>
      </c>
      <c r="K18" s="2">
        <v>0.28445006321112487</v>
      </c>
    </row>
    <row r="19" spans="1:11" x14ac:dyDescent="0.3">
      <c r="A19" s="7">
        <v>1.9822712330395684</v>
      </c>
      <c r="B19" s="2">
        <v>98.135271807838194</v>
      </c>
      <c r="C19" s="2">
        <v>1.4222503160556386</v>
      </c>
      <c r="D19" s="7"/>
      <c r="E19" s="7">
        <v>2.1573560154410694</v>
      </c>
      <c r="F19" s="2">
        <v>102.59165613147916</v>
      </c>
      <c r="G19" s="2">
        <v>0.56890012642224974</v>
      </c>
      <c r="H19" s="7"/>
      <c r="I19" s="7">
        <v>2.1105897102992488</v>
      </c>
      <c r="J19" s="2">
        <v>97.471554993678922</v>
      </c>
      <c r="K19" s="2">
        <v>8.1542351453855773</v>
      </c>
    </row>
    <row r="21" spans="1:11" x14ac:dyDescent="0.3">
      <c r="A21" s="23" t="s">
        <v>103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3" spans="1:11" x14ac:dyDescent="0.3">
      <c r="A23" s="29" t="s">
        <v>3</v>
      </c>
      <c r="B23" s="29"/>
      <c r="C23" s="29"/>
      <c r="E23" s="29" t="s">
        <v>2</v>
      </c>
      <c r="F23" s="29"/>
      <c r="G23" s="29"/>
      <c r="I23" s="29" t="s">
        <v>0</v>
      </c>
      <c r="J23" s="29"/>
      <c r="K23" s="29"/>
    </row>
    <row r="24" spans="1:11" x14ac:dyDescent="0.3">
      <c r="A24" s="4" t="s">
        <v>47</v>
      </c>
      <c r="B24" s="4" t="s">
        <v>101</v>
      </c>
      <c r="C24" s="22" t="s">
        <v>102</v>
      </c>
      <c r="E24" s="4" t="s">
        <v>47</v>
      </c>
      <c r="F24" s="4" t="s">
        <v>101</v>
      </c>
      <c r="G24" s="22" t="s">
        <v>102</v>
      </c>
      <c r="I24" s="4" t="s">
        <v>47</v>
      </c>
      <c r="J24" s="4" t="s">
        <v>101</v>
      </c>
      <c r="K24" s="22" t="s">
        <v>102</v>
      </c>
    </row>
    <row r="25" spans="1:11" x14ac:dyDescent="0.3">
      <c r="A25" s="7">
        <v>3.5224442335063197</v>
      </c>
      <c r="B25" s="2">
        <v>0</v>
      </c>
      <c r="C25" s="2">
        <v>0</v>
      </c>
      <c r="D25" s="7"/>
      <c r="E25" s="7">
        <v>3.5301996982030821</v>
      </c>
      <c r="F25" s="2">
        <v>0</v>
      </c>
      <c r="G25" s="2">
        <v>0</v>
      </c>
      <c r="H25" s="7"/>
      <c r="I25" s="7">
        <v>3.5440680443502757</v>
      </c>
      <c r="J25" s="1">
        <v>0</v>
      </c>
      <c r="K25" s="1">
        <v>0</v>
      </c>
    </row>
    <row r="26" spans="1:11" x14ac:dyDescent="0.3">
      <c r="A26" s="7">
        <v>3.3975054968980198</v>
      </c>
      <c r="B26" s="2">
        <v>0.38167938931297707</v>
      </c>
      <c r="C26" s="2">
        <v>0.38167938931297707</v>
      </c>
      <c r="D26" s="7"/>
      <c r="E26" s="7">
        <v>3.4052609615947822</v>
      </c>
      <c r="F26" s="2">
        <v>0.38167938931297707</v>
      </c>
      <c r="G26" s="2">
        <v>0.38167938931297707</v>
      </c>
      <c r="H26" s="7"/>
      <c r="I26" s="7">
        <v>3.4191293077419758</v>
      </c>
      <c r="J26" s="1">
        <v>0.1272264631043257</v>
      </c>
      <c r="K26" s="1">
        <v>0.1272264631043257</v>
      </c>
    </row>
    <row r="27" spans="1:11" x14ac:dyDescent="0.3">
      <c r="A27" s="7">
        <v>3.2214142378423385</v>
      </c>
      <c r="B27" s="2">
        <v>1.272264631043257</v>
      </c>
      <c r="C27" s="2">
        <v>1.272264631043257</v>
      </c>
      <c r="D27" s="7"/>
      <c r="E27" s="7">
        <v>3.2291697025391009</v>
      </c>
      <c r="F27" s="2">
        <v>0.2544529262086514</v>
      </c>
      <c r="G27" s="2">
        <v>0.2544529262086514</v>
      </c>
      <c r="H27" s="7"/>
      <c r="I27" s="7">
        <v>3.2430380486862944</v>
      </c>
      <c r="J27" s="1">
        <v>0.5089058524173028</v>
      </c>
      <c r="K27" s="1">
        <v>0.5089058524173028</v>
      </c>
    </row>
    <row r="28" spans="1:11" x14ac:dyDescent="0.3">
      <c r="A28" s="7">
        <v>3.0964755012340386</v>
      </c>
      <c r="B28" s="2">
        <v>8.3969465648854964</v>
      </c>
      <c r="C28" s="2">
        <v>0.50890585241730246</v>
      </c>
      <c r="D28" s="7"/>
      <c r="E28" s="7">
        <v>3.1042309659308009</v>
      </c>
      <c r="F28" s="2">
        <v>6.4885496183206097</v>
      </c>
      <c r="G28" s="2">
        <v>2.4173027989821887</v>
      </c>
      <c r="H28" s="7"/>
      <c r="I28" s="7">
        <v>3.1180993120779945</v>
      </c>
      <c r="J28" s="1">
        <v>7.888040712468193</v>
      </c>
      <c r="K28" s="1">
        <v>1.526717557251914</v>
      </c>
    </row>
    <row r="29" spans="1:11" x14ac:dyDescent="0.3">
      <c r="A29" s="7">
        <v>2.9203842421783577</v>
      </c>
      <c r="B29" s="2">
        <v>48.473282442748079</v>
      </c>
      <c r="C29" s="2">
        <v>9.7964376590330851</v>
      </c>
      <c r="D29" s="7"/>
      <c r="E29" s="7">
        <v>2.9281397068751196</v>
      </c>
      <c r="F29" s="2">
        <v>38.040712468193377</v>
      </c>
      <c r="G29" s="2">
        <v>0.63613231552162475</v>
      </c>
      <c r="H29" s="7"/>
      <c r="I29" s="7">
        <v>2.9420080530223132</v>
      </c>
      <c r="J29" s="1">
        <v>40.07633587786259</v>
      </c>
      <c r="K29" s="1">
        <v>2.926208651399488</v>
      </c>
    </row>
    <row r="30" spans="1:11" x14ac:dyDescent="0.3">
      <c r="A30" s="7">
        <v>2.6193542465143764</v>
      </c>
      <c r="B30" s="2">
        <v>85.368956743002542</v>
      </c>
      <c r="C30" s="2">
        <v>1.1450381679389281</v>
      </c>
      <c r="D30" s="7"/>
      <c r="E30" s="7">
        <v>2.6271097112111388</v>
      </c>
      <c r="F30" s="2">
        <v>90.839694656488533</v>
      </c>
      <c r="G30" s="2">
        <v>6.6157760814249258</v>
      </c>
      <c r="H30" s="7"/>
      <c r="I30" s="7">
        <v>2.6409780573583319</v>
      </c>
      <c r="J30" s="1">
        <v>83.078880407124672</v>
      </c>
      <c r="K30" s="1">
        <v>5.7251908396946547</v>
      </c>
    </row>
    <row r="31" spans="1:11" x14ac:dyDescent="0.3">
      <c r="A31" s="7">
        <v>2.3183242508503952</v>
      </c>
      <c r="B31" s="2">
        <v>87.913486005089055</v>
      </c>
      <c r="C31" s="2">
        <v>7.5063613231552253</v>
      </c>
      <c r="D31" s="7"/>
      <c r="E31" s="7">
        <v>2.3260797155471575</v>
      </c>
      <c r="F31" s="2">
        <v>97.20101781170483</v>
      </c>
      <c r="G31" s="2">
        <v>1.7811704834605564</v>
      </c>
      <c r="H31" s="7"/>
      <c r="I31" s="7">
        <v>2.3399480616943507</v>
      </c>
      <c r="J31" s="1">
        <v>97.455470737913487</v>
      </c>
      <c r="K31" s="1">
        <v>1.7811704834605635</v>
      </c>
    </row>
    <row r="32" spans="1:11" x14ac:dyDescent="0.3">
      <c r="A32" s="7">
        <v>2.0665122778565954</v>
      </c>
      <c r="B32" s="2">
        <v>102.0356234096692</v>
      </c>
      <c r="C32" s="2">
        <v>1.5267175572519065</v>
      </c>
      <c r="D32" s="7"/>
      <c r="E32" s="7">
        <v>2.0742677425533578</v>
      </c>
      <c r="F32" s="2">
        <v>102.67175572519082</v>
      </c>
      <c r="G32" s="2">
        <v>0.8905852417302853</v>
      </c>
      <c r="H32" s="7"/>
      <c r="I32" s="7">
        <v>2.0881360887005513</v>
      </c>
      <c r="J32" s="1">
        <v>95.038167938931281</v>
      </c>
      <c r="K32" s="1">
        <v>2.9262086513994916</v>
      </c>
    </row>
    <row r="33" spans="1:11" x14ac:dyDescent="0.3">
      <c r="A33" s="7">
        <v>1.7654822821926144</v>
      </c>
      <c r="B33" s="2">
        <v>107.76081424936385</v>
      </c>
      <c r="C33" s="2">
        <v>5.2162849872773407</v>
      </c>
      <c r="D33" s="7"/>
      <c r="E33" s="7">
        <v>1.7732377468893765</v>
      </c>
      <c r="F33" s="2">
        <v>105.72519083969465</v>
      </c>
      <c r="G33" s="2">
        <v>7.2519083969465541</v>
      </c>
      <c r="H33" s="7"/>
      <c r="I33" s="7">
        <v>1.7871060930365701</v>
      </c>
      <c r="J33" s="1">
        <v>91.730279898218811</v>
      </c>
      <c r="K33" s="1">
        <v>0.3816793893129713</v>
      </c>
    </row>
    <row r="35" spans="1:11" x14ac:dyDescent="0.3">
      <c r="A35" s="23" t="s">
        <v>104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7" spans="1:11" x14ac:dyDescent="0.3">
      <c r="A37" s="29" t="s">
        <v>3</v>
      </c>
      <c r="B37" s="29"/>
      <c r="C37" s="29"/>
      <c r="E37" s="29" t="s">
        <v>2</v>
      </c>
      <c r="F37" s="29"/>
      <c r="G37" s="29"/>
      <c r="I37" s="29" t="s">
        <v>0</v>
      </c>
      <c r="J37" s="29"/>
      <c r="K37" s="29"/>
    </row>
    <row r="38" spans="1:11" x14ac:dyDescent="0.3">
      <c r="A38" s="4" t="s">
        <v>47</v>
      </c>
      <c r="B38" s="4" t="s">
        <v>101</v>
      </c>
      <c r="C38" s="22" t="s">
        <v>102</v>
      </c>
      <c r="E38" s="4" t="s">
        <v>47</v>
      </c>
      <c r="F38" s="4" t="s">
        <v>101</v>
      </c>
      <c r="G38" s="22" t="s">
        <v>102</v>
      </c>
      <c r="I38" s="4" t="s">
        <v>47</v>
      </c>
      <c r="J38" s="4" t="s">
        <v>101</v>
      </c>
      <c r="K38" s="22" t="s">
        <v>102</v>
      </c>
    </row>
    <row r="39" spans="1:11" x14ac:dyDescent="0.3">
      <c r="A39" s="7">
        <v>3.17539583139403</v>
      </c>
      <c r="B39" s="2">
        <v>1.9788918205804751</v>
      </c>
      <c r="C39" s="2">
        <v>0.71240105540897103</v>
      </c>
      <c r="D39" s="7"/>
      <c r="E39" s="7">
        <v>3.1887597929520117</v>
      </c>
      <c r="F39" s="2">
        <v>6.0949868073878637</v>
      </c>
      <c r="G39" s="2">
        <v>3.7203166226912918</v>
      </c>
      <c r="H39" s="7"/>
      <c r="I39" s="7">
        <v>3.1639362092269794</v>
      </c>
      <c r="J39" s="2">
        <v>2.3746701846965701</v>
      </c>
      <c r="K39" s="2">
        <v>0.47493403693931274</v>
      </c>
    </row>
    <row r="40" spans="1:11" x14ac:dyDescent="0.3">
      <c r="A40" s="7">
        <v>3.0614524790871931</v>
      </c>
      <c r="B40" s="2">
        <v>32.8496042216359</v>
      </c>
      <c r="C40" s="2">
        <v>3.8786279683377218</v>
      </c>
      <c r="D40" s="7"/>
      <c r="E40" s="7">
        <v>3.0748164406451748</v>
      </c>
      <c r="F40" s="2">
        <v>17.889182058047496</v>
      </c>
      <c r="G40" s="2">
        <v>7.1240105540897058</v>
      </c>
      <c r="H40" s="7"/>
      <c r="I40" s="7">
        <v>3.0499928569201424</v>
      </c>
      <c r="J40" s="2">
        <v>12.823218997361478</v>
      </c>
      <c r="K40" s="2">
        <v>1.8997361477572585</v>
      </c>
    </row>
    <row r="41" spans="1:11" x14ac:dyDescent="0.3">
      <c r="A41" s="7">
        <v>2.9822712330395684</v>
      </c>
      <c r="B41" s="2">
        <v>61.345646437994731</v>
      </c>
      <c r="C41" s="2">
        <v>0.71240105540897147</v>
      </c>
      <c r="D41" s="7"/>
      <c r="E41" s="7">
        <v>2.9956351945975501</v>
      </c>
      <c r="F41" s="2">
        <v>32.216358839050137</v>
      </c>
      <c r="G41" s="2">
        <v>17.651715039577834</v>
      </c>
      <c r="H41" s="7"/>
      <c r="I41" s="7">
        <v>2.9708116108725178</v>
      </c>
      <c r="J41" s="2">
        <v>72.902374670184713</v>
      </c>
      <c r="K41" s="2">
        <v>4.0369393139841776</v>
      </c>
    </row>
    <row r="42" spans="1:11" x14ac:dyDescent="0.3">
      <c r="A42" s="7">
        <v>2.8853612200315122</v>
      </c>
      <c r="B42" s="2">
        <v>65.620052770448552</v>
      </c>
      <c r="C42" s="2">
        <v>3.4036939313984185</v>
      </c>
      <c r="D42" s="7"/>
      <c r="E42" s="7">
        <v>2.8987251815894934</v>
      </c>
      <c r="F42" s="2">
        <v>67.994722955145122</v>
      </c>
      <c r="G42" s="2">
        <v>1.978891820580472</v>
      </c>
      <c r="H42" s="7"/>
      <c r="I42" s="7">
        <v>2.8739015978644615</v>
      </c>
      <c r="J42" s="2">
        <v>78.284960422163579</v>
      </c>
      <c r="K42" s="2">
        <v>7.9155672823212342E-2</v>
      </c>
    </row>
    <row r="43" spans="1:11" x14ac:dyDescent="0.3">
      <c r="A43" s="7">
        <v>2.7604224834232118</v>
      </c>
      <c r="B43" s="2">
        <v>85.725593667546178</v>
      </c>
      <c r="C43" s="2">
        <v>6.5699208443271715</v>
      </c>
      <c r="D43" s="7"/>
      <c r="E43" s="7">
        <v>2.7737864449811935</v>
      </c>
      <c r="F43" s="2">
        <v>80.026385224274406</v>
      </c>
      <c r="G43" s="2">
        <v>4.3535620052770483</v>
      </c>
      <c r="H43" s="7"/>
      <c r="I43" s="7">
        <v>2.7489628612561616</v>
      </c>
      <c r="J43" s="2">
        <v>83.98416886543535</v>
      </c>
      <c r="K43" s="2">
        <v>2.7704485488126593</v>
      </c>
    </row>
    <row r="44" spans="1:11" x14ac:dyDescent="0.3">
      <c r="A44" s="7">
        <v>2.5843312243675309</v>
      </c>
      <c r="B44" s="2">
        <v>88.179419525065981</v>
      </c>
      <c r="C44" s="2">
        <v>2.3746701846965621</v>
      </c>
      <c r="D44" s="7"/>
      <c r="E44" s="7">
        <v>2.5976951859255122</v>
      </c>
      <c r="F44" s="2">
        <v>85.250659630606876</v>
      </c>
      <c r="G44" s="2">
        <v>3.7203166226912998</v>
      </c>
      <c r="H44" s="7"/>
      <c r="I44" s="7">
        <v>2.5728716022004803</v>
      </c>
      <c r="J44" s="2">
        <v>90.395778364116097</v>
      </c>
      <c r="K44" s="2">
        <v>3.957783641160951</v>
      </c>
    </row>
    <row r="45" spans="1:11" x14ac:dyDescent="0.3">
      <c r="A45" s="7">
        <v>2.459392487759231</v>
      </c>
      <c r="B45" s="2">
        <v>99.656992084432716</v>
      </c>
      <c r="C45" s="2">
        <v>2.6121372031662133</v>
      </c>
      <c r="D45" s="7"/>
      <c r="E45" s="7">
        <v>2.4727564493172123</v>
      </c>
      <c r="F45" s="2">
        <v>93.641160949868095</v>
      </c>
      <c r="G45" s="2">
        <v>6.5699208443271715</v>
      </c>
      <c r="H45" s="7"/>
      <c r="I45" s="7">
        <v>2.4479328655921804</v>
      </c>
      <c r="J45" s="2">
        <v>84.934036939313984</v>
      </c>
      <c r="K45" s="2">
        <v>2.7704485488126736</v>
      </c>
    </row>
    <row r="46" spans="1:11" x14ac:dyDescent="0.3">
      <c r="A46" s="7">
        <v>2.2833012287035497</v>
      </c>
      <c r="B46" s="2">
        <v>95.540897097625347</v>
      </c>
      <c r="C46" s="2">
        <v>5.3034300791556745</v>
      </c>
      <c r="D46" s="7"/>
      <c r="E46" s="7">
        <v>2.2966651902615309</v>
      </c>
      <c r="F46" s="2">
        <v>114.4591029023747</v>
      </c>
      <c r="G46" s="2">
        <v>3.4828496042216415</v>
      </c>
      <c r="H46" s="7"/>
      <c r="I46" s="7">
        <v>2.271841606536499</v>
      </c>
      <c r="J46" s="2">
        <v>90.554089709762536</v>
      </c>
      <c r="K46" s="2">
        <v>1.8997361477572667</v>
      </c>
    </row>
    <row r="48" spans="1:11" x14ac:dyDescent="0.3">
      <c r="A48" s="23" t="s">
        <v>105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50" spans="1:11" x14ac:dyDescent="0.3">
      <c r="A50" s="29" t="s">
        <v>3</v>
      </c>
      <c r="B50" s="29"/>
      <c r="C50" s="29"/>
      <c r="E50" s="29" t="s">
        <v>2</v>
      </c>
      <c r="F50" s="29"/>
      <c r="G50" s="29"/>
      <c r="I50" s="29" t="s">
        <v>0</v>
      </c>
      <c r="J50" s="29"/>
      <c r="K50" s="29"/>
    </row>
    <row r="51" spans="1:11" x14ac:dyDescent="0.3">
      <c r="A51" s="4" t="s">
        <v>47</v>
      </c>
      <c r="B51" s="4" t="s">
        <v>101</v>
      </c>
      <c r="C51" s="22" t="s">
        <v>102</v>
      </c>
      <c r="E51" s="4" t="s">
        <v>47</v>
      </c>
      <c r="F51" s="4" t="s">
        <v>101</v>
      </c>
      <c r="G51" s="22" t="s">
        <v>102</v>
      </c>
      <c r="I51" s="4" t="s">
        <v>47</v>
      </c>
      <c r="J51" s="4" t="s">
        <v>101</v>
      </c>
      <c r="K51" s="22" t="s">
        <v>102</v>
      </c>
    </row>
    <row r="52" spans="1:11" x14ac:dyDescent="0.3">
      <c r="A52" s="7">
        <v>3.3937506403480802</v>
      </c>
      <c r="B52" s="2">
        <v>0</v>
      </c>
      <c r="C52" s="2">
        <v>0</v>
      </c>
      <c r="D52" s="7"/>
      <c r="E52" s="7">
        <v>3.4689378056654614</v>
      </c>
      <c r="F52" s="2">
        <v>0</v>
      </c>
      <c r="G52" s="2">
        <v>0</v>
      </c>
      <c r="H52" s="7"/>
      <c r="I52" s="7">
        <v>3.4533183400470375</v>
      </c>
      <c r="J52" s="2">
        <v>0.10630758327427357</v>
      </c>
      <c r="K52" s="2">
        <v>0.10630758327427357</v>
      </c>
    </row>
    <row r="53" spans="1:11" x14ac:dyDescent="0.3">
      <c r="A53" s="7">
        <v>3.2688119037397803</v>
      </c>
      <c r="B53" s="2">
        <v>0.21261516654854715</v>
      </c>
      <c r="C53" s="2">
        <v>0.21261516654854715</v>
      </c>
      <c r="D53" s="7"/>
      <c r="E53" s="7">
        <v>3.3439990690571615</v>
      </c>
      <c r="F53" s="2">
        <v>0.42523033309709429</v>
      </c>
      <c r="G53" s="2">
        <v>0.42523033309709429</v>
      </c>
      <c r="H53" s="7"/>
      <c r="I53" s="7">
        <v>3.3283796034387376</v>
      </c>
      <c r="J53" s="2">
        <v>0.21261516654854715</v>
      </c>
      <c r="K53" s="2">
        <v>0.21261516654854715</v>
      </c>
    </row>
    <row r="54" spans="1:11" x14ac:dyDescent="0.3">
      <c r="A54" s="7">
        <v>3.0927206446840994</v>
      </c>
      <c r="B54" s="2">
        <v>1.48830616583983</v>
      </c>
      <c r="C54" s="2">
        <v>0.42523033309709413</v>
      </c>
      <c r="D54" s="7"/>
      <c r="E54" s="7">
        <v>3.1679078100014801</v>
      </c>
      <c r="F54" s="2">
        <v>0.10630758327427357</v>
      </c>
      <c r="G54" s="2">
        <v>0.10630758327427357</v>
      </c>
      <c r="H54" s="7"/>
      <c r="I54" s="7">
        <v>3.1522883443830563</v>
      </c>
      <c r="J54" s="2">
        <v>1.3819985825655561</v>
      </c>
      <c r="K54" s="2">
        <v>0.74415308291991478</v>
      </c>
    </row>
    <row r="55" spans="1:11" x14ac:dyDescent="0.3">
      <c r="A55" s="7">
        <v>2.967781908075799</v>
      </c>
      <c r="B55" s="2">
        <v>4.0396881644223956</v>
      </c>
      <c r="C55" s="2">
        <v>3.1892274982282069</v>
      </c>
      <c r="D55" s="7"/>
      <c r="E55" s="7">
        <v>3.0429690733931802</v>
      </c>
      <c r="F55" s="2">
        <v>10.630758327427356</v>
      </c>
      <c r="G55" s="2">
        <v>0</v>
      </c>
      <c r="H55" s="7"/>
      <c r="I55" s="7">
        <v>3.0273496077747564</v>
      </c>
      <c r="J55" s="2">
        <v>9.9929128277817174</v>
      </c>
      <c r="K55" s="2">
        <v>5.5279943302622252</v>
      </c>
    </row>
    <row r="56" spans="1:11" x14ac:dyDescent="0.3">
      <c r="A56" s="7">
        <v>2.7916906490201181</v>
      </c>
      <c r="B56" s="2">
        <v>11.906449326718642</v>
      </c>
      <c r="C56" s="2">
        <v>3.6144578313252995</v>
      </c>
      <c r="E56" s="7">
        <v>2.8668778143374989</v>
      </c>
      <c r="F56" s="2">
        <v>29.021970233876683</v>
      </c>
      <c r="G56" s="2">
        <v>0.31892274982281776</v>
      </c>
      <c r="I56" s="7">
        <v>2.8512583487190755</v>
      </c>
      <c r="J56" s="2">
        <v>24.025513819985825</v>
      </c>
      <c r="K56" s="2">
        <v>12.119064493267185</v>
      </c>
    </row>
    <row r="57" spans="1:11" x14ac:dyDescent="0.3">
      <c r="A57" s="7">
        <v>2.4906606533561368</v>
      </c>
      <c r="B57" s="2">
        <v>73.45854004252304</v>
      </c>
      <c r="C57" s="2">
        <v>5.634301913536504</v>
      </c>
      <c r="E57" s="7">
        <v>2.5658478186735176</v>
      </c>
      <c r="F57" s="2">
        <v>86.215450035435865</v>
      </c>
      <c r="G57" s="2">
        <v>11.374911410347268</v>
      </c>
      <c r="I57" s="7">
        <v>2.5502283530550942</v>
      </c>
      <c r="J57" s="2">
        <v>79.624379872430922</v>
      </c>
      <c r="K57" s="2">
        <v>16.265060240963834</v>
      </c>
    </row>
    <row r="58" spans="1:11" x14ac:dyDescent="0.3">
      <c r="A58" s="7">
        <v>2.1896306576921556</v>
      </c>
      <c r="B58" s="2">
        <v>84.089298369950399</v>
      </c>
      <c r="C58" s="2">
        <v>1.1693834160170198</v>
      </c>
      <c r="E58" s="7">
        <v>2.2648178230095364</v>
      </c>
      <c r="F58" s="2">
        <v>94.613749114103484</v>
      </c>
      <c r="G58" s="2">
        <v>6.1658398299078527</v>
      </c>
      <c r="I58" s="7">
        <v>2.249198357391113</v>
      </c>
      <c r="J58" s="2">
        <v>93.338058114812213</v>
      </c>
      <c r="K58" s="2">
        <v>6.1658398299078598</v>
      </c>
    </row>
    <row r="59" spans="1:11" x14ac:dyDescent="0.3">
      <c r="A59" s="7">
        <v>1.9378186846983561</v>
      </c>
      <c r="B59" s="2">
        <v>96.73990077958895</v>
      </c>
      <c r="C59" s="2">
        <v>0.8504606661941807</v>
      </c>
      <c r="E59" s="7">
        <v>2.0130058500157371</v>
      </c>
      <c r="F59" s="2">
        <v>95.889440113394755</v>
      </c>
      <c r="G59" s="2">
        <v>9.7802976612332166</v>
      </c>
      <c r="I59" s="7">
        <v>1.9973863843973134</v>
      </c>
      <c r="J59" s="2">
        <v>95.67682494684621</v>
      </c>
      <c r="K59" s="2">
        <v>2.1261516654854731</v>
      </c>
    </row>
    <row r="60" spans="1:11" x14ac:dyDescent="0.3">
      <c r="A60" s="7">
        <v>1.6367886890343748</v>
      </c>
      <c r="B60" s="2">
        <v>102.79943302622254</v>
      </c>
      <c r="C60" s="2">
        <v>2.6576895818568502</v>
      </c>
      <c r="E60" s="7">
        <v>1.7119758543517558</v>
      </c>
      <c r="F60" s="2">
        <v>95.145287030474861</v>
      </c>
      <c r="G60" s="2">
        <v>14.56413890857543</v>
      </c>
      <c r="I60" s="7">
        <v>1.6963563887333322</v>
      </c>
      <c r="J60" s="2">
        <v>108.64635010630761</v>
      </c>
      <c r="K60" s="2">
        <v>0.85046066619418781</v>
      </c>
    </row>
    <row r="62" spans="1:11" x14ac:dyDescent="0.3">
      <c r="A62" s="23" t="s">
        <v>106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4" spans="1:11" x14ac:dyDescent="0.3">
      <c r="A64" s="29" t="s">
        <v>3</v>
      </c>
      <c r="B64" s="29"/>
      <c r="C64" s="29"/>
      <c r="E64" s="29" t="s">
        <v>2</v>
      </c>
      <c r="F64" s="29"/>
      <c r="G64" s="29"/>
      <c r="I64" s="29" t="s">
        <v>0</v>
      </c>
      <c r="J64" s="29"/>
      <c r="K64" s="29"/>
    </row>
    <row r="65" spans="1:11" x14ac:dyDescent="0.3">
      <c r="A65" s="4" t="s">
        <v>47</v>
      </c>
      <c r="B65" s="4" t="s">
        <v>101</v>
      </c>
      <c r="C65" s="22" t="s">
        <v>102</v>
      </c>
      <c r="E65" s="4" t="s">
        <v>47</v>
      </c>
      <c r="F65" s="4" t="s">
        <v>101</v>
      </c>
      <c r="G65" s="22" t="s">
        <v>102</v>
      </c>
      <c r="I65" s="4" t="s">
        <v>47</v>
      </c>
      <c r="J65" s="4" t="s">
        <v>101</v>
      </c>
      <c r="K65" s="22" t="s">
        <v>102</v>
      </c>
    </row>
    <row r="66" spans="1:11" x14ac:dyDescent="0.3">
      <c r="A66" s="7">
        <v>3.2700379829462642</v>
      </c>
      <c r="B66" s="2">
        <v>0.25539160045402948</v>
      </c>
      <c r="C66" s="2">
        <v>0.25539160045402948</v>
      </c>
      <c r="D66" s="7"/>
      <c r="E66" s="7">
        <v>3.2575825875813802</v>
      </c>
      <c r="F66" s="2">
        <v>2.6390465380249717</v>
      </c>
      <c r="G66" s="2">
        <v>1.1066969353007947</v>
      </c>
      <c r="H66" s="7"/>
      <c r="I66" s="7">
        <v>3.2960725663598351</v>
      </c>
      <c r="J66" s="2">
        <v>10.300794551645854</v>
      </c>
      <c r="K66" s="2">
        <v>1.6174801362088569</v>
      </c>
    </row>
    <row r="67" spans="1:11" x14ac:dyDescent="0.3">
      <c r="A67" s="7">
        <v>2.9800033715837464</v>
      </c>
      <c r="B67" s="2">
        <v>57.377979568671954</v>
      </c>
      <c r="C67" s="2">
        <v>6.6401816118047785</v>
      </c>
      <c r="D67" s="7"/>
      <c r="E67" s="7">
        <v>2.9675479762188619</v>
      </c>
      <c r="F67" s="2">
        <v>57.463110102156634</v>
      </c>
      <c r="G67" s="2">
        <v>0.76617480136208727</v>
      </c>
      <c r="H67" s="7"/>
      <c r="I67" s="7">
        <v>3.0060379549973173</v>
      </c>
      <c r="J67" s="2">
        <v>54.483541430192957</v>
      </c>
      <c r="K67" s="2">
        <v>2.213393870601589</v>
      </c>
    </row>
    <row r="68" spans="1:11" x14ac:dyDescent="0.3">
      <c r="A68" s="7">
        <v>2.9220114246060596</v>
      </c>
      <c r="B68" s="2">
        <v>78.234960272417709</v>
      </c>
      <c r="C68" s="2">
        <v>1.7877412031782072</v>
      </c>
      <c r="D68" s="7"/>
      <c r="E68" s="7">
        <v>2.9095560292411755</v>
      </c>
      <c r="F68" s="2">
        <v>64.443813847900103</v>
      </c>
      <c r="G68" s="2">
        <v>1.7877412031782107</v>
      </c>
      <c r="H68" s="7"/>
      <c r="I68" s="7">
        <v>2.9480460080196305</v>
      </c>
      <c r="J68" s="2">
        <v>48.609534619750278</v>
      </c>
      <c r="K68" s="2">
        <v>11.152099886492588</v>
      </c>
    </row>
    <row r="69" spans="1:11" x14ac:dyDescent="0.3">
      <c r="A69" s="7">
        <v>2.8550646349754465</v>
      </c>
      <c r="B69" s="2">
        <v>84.875141884222472</v>
      </c>
      <c r="C69" s="2">
        <v>5.0227014755959161</v>
      </c>
      <c r="D69" s="7"/>
      <c r="E69" s="7">
        <v>2.842609239610562</v>
      </c>
      <c r="F69" s="2">
        <v>65.124858115777513</v>
      </c>
      <c r="G69" s="2">
        <v>1.2769580022701454</v>
      </c>
      <c r="H69" s="7"/>
      <c r="I69" s="7">
        <v>2.8810992183890174</v>
      </c>
      <c r="J69" s="2">
        <v>79.256526674233811</v>
      </c>
      <c r="K69" s="2">
        <v>2.9795686719636905</v>
      </c>
    </row>
    <row r="70" spans="1:11" x14ac:dyDescent="0.3">
      <c r="A70" s="7">
        <v>2.7758833889278214</v>
      </c>
      <c r="B70" s="2">
        <v>87.769580022701462</v>
      </c>
      <c r="C70" s="2">
        <v>3.1498297389330219</v>
      </c>
      <c r="D70" s="7"/>
      <c r="E70" s="7">
        <v>2.7634279935629373</v>
      </c>
      <c r="F70" s="2">
        <v>71.083995459704866</v>
      </c>
      <c r="G70" s="2">
        <v>8.0874006810442811</v>
      </c>
      <c r="H70" s="7"/>
      <c r="I70" s="7">
        <v>2.8019179723413923</v>
      </c>
      <c r="J70" s="2">
        <v>85.300794551645836</v>
      </c>
      <c r="K70" s="2">
        <v>0.34052213393870545</v>
      </c>
    </row>
    <row r="71" spans="1:11" x14ac:dyDescent="0.3">
      <c r="A71" s="7">
        <v>2.6789733759197651</v>
      </c>
      <c r="B71" s="2">
        <v>86.40749148694664</v>
      </c>
      <c r="C71" s="2">
        <v>5.0227014755959232</v>
      </c>
      <c r="D71" s="7"/>
      <c r="E71" s="7">
        <v>2.6665179805548807</v>
      </c>
      <c r="F71" s="2">
        <v>83.938706015891015</v>
      </c>
      <c r="G71" s="2">
        <v>2.0431328036322469</v>
      </c>
      <c r="H71" s="7"/>
      <c r="I71" s="7">
        <v>2.705007959333336</v>
      </c>
      <c r="J71" s="2">
        <v>87.088535754824051</v>
      </c>
      <c r="K71" s="2">
        <v>2.2985244040862653</v>
      </c>
    </row>
    <row r="72" spans="1:11" x14ac:dyDescent="0.3">
      <c r="A72" s="7">
        <v>2.5540346393114652</v>
      </c>
      <c r="B72" s="2">
        <v>100.45402951191826</v>
      </c>
      <c r="C72" s="2">
        <v>1.5323496027241745</v>
      </c>
      <c r="D72" s="7"/>
      <c r="E72" s="7">
        <v>2.5415792439465807</v>
      </c>
      <c r="F72" s="2">
        <v>93.643586833144127</v>
      </c>
      <c r="G72" s="2">
        <v>3.5754824063564001</v>
      </c>
      <c r="H72" s="7"/>
      <c r="I72" s="7">
        <v>2.5800692227250361</v>
      </c>
      <c r="J72" s="2">
        <v>95.175936435868323</v>
      </c>
      <c r="K72" s="2">
        <v>3.9160045402951056</v>
      </c>
    </row>
    <row r="73" spans="1:11" x14ac:dyDescent="0.3">
      <c r="A73" s="7">
        <v>2.3779433802557839</v>
      </c>
      <c r="B73" s="2">
        <v>101.47559591373438</v>
      </c>
      <c r="C73" s="2">
        <v>3.9160045402951198</v>
      </c>
      <c r="D73" s="7"/>
      <c r="E73" s="7">
        <v>2.3654879848908998</v>
      </c>
      <c r="F73" s="2">
        <v>98.410896708286032</v>
      </c>
      <c r="G73" s="2">
        <v>4.0862656072644583</v>
      </c>
      <c r="H73" s="7"/>
      <c r="I73" s="7">
        <v>2.4039779636693548</v>
      </c>
      <c r="J73" s="2">
        <v>89.727582292849021</v>
      </c>
      <c r="K73" s="2">
        <v>0.34052213393870545</v>
      </c>
    </row>
    <row r="75" spans="1:11" x14ac:dyDescent="0.3">
      <c r="A75" s="23" t="s">
        <v>107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</row>
    <row r="77" spans="1:11" x14ac:dyDescent="0.3">
      <c r="A77" s="29" t="s">
        <v>3</v>
      </c>
      <c r="B77" s="29"/>
      <c r="C77" s="29"/>
      <c r="E77" s="29" t="s">
        <v>2</v>
      </c>
      <c r="F77" s="29"/>
      <c r="G77" s="29"/>
      <c r="I77" s="29" t="s">
        <v>0</v>
      </c>
      <c r="J77" s="29"/>
      <c r="K77" s="29"/>
    </row>
    <row r="78" spans="1:11" x14ac:dyDescent="0.3">
      <c r="A78" s="4" t="s">
        <v>47</v>
      </c>
      <c r="B78" s="4" t="s">
        <v>101</v>
      </c>
      <c r="C78" s="22" t="s">
        <v>102</v>
      </c>
      <c r="E78" s="4" t="s">
        <v>47</v>
      </c>
      <c r="F78" s="4" t="s">
        <v>101</v>
      </c>
      <c r="G78" s="22" t="s">
        <v>102</v>
      </c>
      <c r="I78" s="4" t="s">
        <v>47</v>
      </c>
      <c r="J78" s="4" t="s">
        <v>101</v>
      </c>
      <c r="K78" s="22" t="s">
        <v>102</v>
      </c>
    </row>
    <row r="79" spans="1:11" x14ac:dyDescent="0.3">
      <c r="A79" s="7">
        <v>3.7304592600457687</v>
      </c>
      <c r="B79" s="2">
        <v>0</v>
      </c>
      <c r="C79" s="2">
        <v>0</v>
      </c>
      <c r="D79" s="7"/>
      <c r="E79" s="7">
        <v>3.5639554649958129</v>
      </c>
      <c r="F79" s="2">
        <v>0</v>
      </c>
      <c r="G79" s="2">
        <v>0</v>
      </c>
      <c r="H79" s="7"/>
      <c r="I79" s="7">
        <v>3.6620018793899169</v>
      </c>
      <c r="J79" s="2">
        <v>0</v>
      </c>
      <c r="K79" s="2">
        <v>0</v>
      </c>
    </row>
    <row r="80" spans="1:11" x14ac:dyDescent="0.3">
      <c r="A80" s="7">
        <v>3.6055205234374688</v>
      </c>
      <c r="B80" s="2">
        <v>0</v>
      </c>
      <c r="C80" s="2">
        <v>0</v>
      </c>
      <c r="D80" s="7"/>
      <c r="E80" s="7">
        <v>3.4390167283875126</v>
      </c>
      <c r="F80" s="2">
        <v>0</v>
      </c>
      <c r="G80" s="2">
        <v>0</v>
      </c>
      <c r="H80" s="7"/>
      <c r="I80" s="7">
        <v>3.537063142781617</v>
      </c>
      <c r="J80" s="2">
        <v>0</v>
      </c>
      <c r="K80" s="2">
        <v>0</v>
      </c>
    </row>
    <row r="81" spans="1:11" x14ac:dyDescent="0.3">
      <c r="A81" s="7">
        <v>3.4294292643817879</v>
      </c>
      <c r="B81" s="2">
        <v>8.3565459610027842E-2</v>
      </c>
      <c r="C81" s="2">
        <v>8.3565459610027842E-2</v>
      </c>
      <c r="D81" s="7"/>
      <c r="E81" s="7">
        <v>3.2629254693318317</v>
      </c>
      <c r="F81" s="2">
        <v>8.3565459610027842E-2</v>
      </c>
      <c r="G81" s="2">
        <v>8.3565459610027842E-2</v>
      </c>
      <c r="H81" s="7"/>
      <c r="I81" s="7">
        <v>3.3609718837259357</v>
      </c>
      <c r="J81" s="2">
        <v>8.3565459610027842E-2</v>
      </c>
      <c r="K81" s="2">
        <v>8.3565459610027842E-2</v>
      </c>
    </row>
    <row r="82" spans="1:11" x14ac:dyDescent="0.3">
      <c r="A82" s="7">
        <v>3.3044905277734875</v>
      </c>
      <c r="B82" s="2">
        <v>1.5041782729805013</v>
      </c>
      <c r="C82" s="2">
        <v>0.16713091922005532</v>
      </c>
      <c r="D82" s="7"/>
      <c r="E82" s="7">
        <v>3.1379867327235318</v>
      </c>
      <c r="F82" s="2">
        <v>0.75208913649025066</v>
      </c>
      <c r="G82" s="2">
        <v>8.3565459610027662E-2</v>
      </c>
      <c r="H82" s="7"/>
      <c r="I82" s="7">
        <v>3.2360331471176358</v>
      </c>
      <c r="J82" s="2">
        <v>2.7576601671309189</v>
      </c>
      <c r="K82" s="2">
        <v>1.2534818941504182</v>
      </c>
    </row>
    <row r="83" spans="1:11" x14ac:dyDescent="0.3">
      <c r="A83" s="7">
        <v>3.1283992687178066</v>
      </c>
      <c r="B83" s="2">
        <v>2.5069637883008351</v>
      </c>
      <c r="C83" s="2">
        <v>1.0027855153203333</v>
      </c>
      <c r="D83" s="7"/>
      <c r="E83" s="7">
        <v>2.9618954736678504</v>
      </c>
      <c r="F83" s="2">
        <v>3.5933147632311977</v>
      </c>
      <c r="G83" s="2">
        <v>1.4206128133704732</v>
      </c>
      <c r="H83" s="7"/>
      <c r="I83" s="7">
        <v>3.0599418880619549</v>
      </c>
      <c r="J83" s="2">
        <v>4.5125348189415035</v>
      </c>
      <c r="K83" s="2">
        <v>2.3398328690807797</v>
      </c>
    </row>
    <row r="84" spans="1:11" x14ac:dyDescent="0.3">
      <c r="A84" s="7">
        <v>2.8273692730538253</v>
      </c>
      <c r="B84" s="2">
        <v>18.969359331476323</v>
      </c>
      <c r="C84" s="2">
        <v>2.5905292479108639</v>
      </c>
      <c r="D84" s="7"/>
      <c r="E84" s="7">
        <v>2.6608654780038692</v>
      </c>
      <c r="F84" s="2">
        <v>19.136490250696376</v>
      </c>
      <c r="G84" s="2">
        <v>0.58495821727019681</v>
      </c>
      <c r="H84" s="7"/>
      <c r="I84" s="7">
        <v>2.7589118923979736</v>
      </c>
      <c r="J84" s="2">
        <v>4.3454038997214477</v>
      </c>
      <c r="K84" s="2">
        <v>0.50139275766016911</v>
      </c>
    </row>
    <row r="85" spans="1:11" x14ac:dyDescent="0.3">
      <c r="A85" s="7">
        <v>2.5263392773898441</v>
      </c>
      <c r="B85" s="2">
        <v>63.259052924791078</v>
      </c>
      <c r="C85" s="2">
        <v>12.284122562674071</v>
      </c>
      <c r="D85" s="7"/>
      <c r="E85" s="7">
        <v>2.3598354823398879</v>
      </c>
      <c r="F85" s="2">
        <v>60.752089136490241</v>
      </c>
      <c r="G85" s="2">
        <v>6.2674094707520656</v>
      </c>
      <c r="H85" s="7"/>
      <c r="I85" s="7">
        <v>2.4578818967339924</v>
      </c>
      <c r="J85" s="2">
        <v>37.938718662952638</v>
      </c>
      <c r="K85" s="2">
        <v>8.8579387186629628</v>
      </c>
    </row>
    <row r="86" spans="1:11" x14ac:dyDescent="0.3">
      <c r="A86" s="7">
        <v>2.2745273043960443</v>
      </c>
      <c r="B86" s="2">
        <v>91.671309192200539</v>
      </c>
      <c r="C86" s="2">
        <v>1.0863509749303617</v>
      </c>
      <c r="D86" s="7"/>
      <c r="E86" s="7">
        <v>2.1080235093460886</v>
      </c>
      <c r="F86" s="2">
        <v>94.512534818941489</v>
      </c>
      <c r="G86" s="2">
        <v>5.5988857938718724</v>
      </c>
      <c r="H86" s="7"/>
      <c r="I86" s="7">
        <v>2.2060699237401926</v>
      </c>
      <c r="J86" s="2">
        <v>84.902506963788284</v>
      </c>
      <c r="K86" s="2">
        <v>0.8356545961002837</v>
      </c>
    </row>
    <row r="87" spans="1:11" x14ac:dyDescent="0.3">
      <c r="A87" s="7">
        <v>1.9734973087320633</v>
      </c>
      <c r="B87" s="2">
        <v>100.27855153203342</v>
      </c>
      <c r="C87" s="2">
        <v>1.1699164345404043</v>
      </c>
      <c r="D87" s="7"/>
      <c r="E87" s="7">
        <v>1.8069935136821071</v>
      </c>
      <c r="F87" s="2">
        <v>90.835654596100255</v>
      </c>
      <c r="G87" s="2">
        <v>4.0947075208913688</v>
      </c>
      <c r="H87" s="7"/>
      <c r="I87" s="7">
        <v>1.9050399280762116</v>
      </c>
      <c r="J87" s="2">
        <v>91.086350974930355</v>
      </c>
      <c r="K87" s="2">
        <v>2.1727019498607305</v>
      </c>
    </row>
    <row r="88" spans="1:11" x14ac:dyDescent="0.3">
      <c r="A88" s="7">
        <v>1.6724673130680821</v>
      </c>
      <c r="B88" s="2">
        <v>101.69916434540389</v>
      </c>
      <c r="C88" s="2">
        <v>4.2618384401114255</v>
      </c>
      <c r="D88" s="7"/>
      <c r="E88" s="7">
        <v>1.5059635180181261</v>
      </c>
      <c r="F88" s="2">
        <v>83.064066852367688</v>
      </c>
      <c r="G88" s="2">
        <v>2.3398328690807872</v>
      </c>
      <c r="H88" s="7"/>
      <c r="I88" s="7">
        <v>1.6040099324122303</v>
      </c>
      <c r="J88" s="2">
        <v>96.685236768802213</v>
      </c>
      <c r="K88" s="2">
        <v>0.75208913649024822</v>
      </c>
    </row>
    <row r="90" spans="1:11" x14ac:dyDescent="0.3">
      <c r="A90" s="23" t="s">
        <v>108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2" spans="1:11" x14ac:dyDescent="0.3">
      <c r="A92" s="29" t="s">
        <v>3</v>
      </c>
      <c r="B92" s="29"/>
      <c r="C92" s="29"/>
      <c r="E92" s="29" t="s">
        <v>2</v>
      </c>
      <c r="F92" s="29"/>
      <c r="G92" s="29"/>
      <c r="I92" s="29" t="s">
        <v>0</v>
      </c>
      <c r="J92" s="29"/>
      <c r="K92" s="29"/>
    </row>
    <row r="93" spans="1:11" x14ac:dyDescent="0.3">
      <c r="A93" s="4" t="s">
        <v>47</v>
      </c>
      <c r="B93" s="4" t="s">
        <v>101</v>
      </c>
      <c r="C93" s="22" t="s">
        <v>102</v>
      </c>
      <c r="E93" s="4" t="s">
        <v>47</v>
      </c>
      <c r="F93" s="4" t="s">
        <v>101</v>
      </c>
      <c r="G93" s="22" t="s">
        <v>102</v>
      </c>
      <c r="I93" s="4" t="s">
        <v>47</v>
      </c>
      <c r="J93" s="4" t="s">
        <v>101</v>
      </c>
      <c r="K93" s="22" t="s">
        <v>102</v>
      </c>
    </row>
    <row r="94" spans="1:11" x14ac:dyDescent="0.3">
      <c r="A94" s="7">
        <v>3.4621183620181344</v>
      </c>
      <c r="B94" s="2">
        <v>0.33112582781456956</v>
      </c>
      <c r="C94" s="2">
        <v>0</v>
      </c>
      <c r="E94" s="7">
        <v>3.5015746687279137</v>
      </c>
      <c r="F94" s="2">
        <v>0.16556291390728478</v>
      </c>
      <c r="G94" s="2">
        <v>0.16556291390728478</v>
      </c>
      <c r="I94" s="7">
        <v>3.3646421058973823</v>
      </c>
      <c r="J94" s="2">
        <v>1.2417218543046358</v>
      </c>
      <c r="K94" s="2">
        <v>1.2417218543046358</v>
      </c>
    </row>
    <row r="95" spans="1:11" x14ac:dyDescent="0.3">
      <c r="A95" s="7">
        <v>3.1720837506556165</v>
      </c>
      <c r="B95" s="2">
        <v>39.817880794701985</v>
      </c>
      <c r="C95" s="2">
        <v>5.8774834437085888</v>
      </c>
      <c r="E95" s="7">
        <v>3.2115400573653958</v>
      </c>
      <c r="F95" s="2">
        <v>25.496688741721854</v>
      </c>
      <c r="G95" s="2">
        <v>2.9801324503311131</v>
      </c>
      <c r="I95" s="7">
        <v>3.074607494534864</v>
      </c>
      <c r="J95" s="2">
        <v>13.82450331125828</v>
      </c>
      <c r="K95" s="2">
        <v>12.665562913907285</v>
      </c>
    </row>
    <row r="96" spans="1:11" x14ac:dyDescent="0.3">
      <c r="A96" s="7">
        <v>3.1140918036779297</v>
      </c>
      <c r="B96" s="2">
        <v>33.278145695364245</v>
      </c>
      <c r="C96" s="2">
        <v>8.2781456953642358</v>
      </c>
      <c r="E96" s="7">
        <v>3.153548110387709</v>
      </c>
      <c r="F96" s="2">
        <v>0.99337748344370869</v>
      </c>
      <c r="G96" s="2">
        <v>0.99337748344370869</v>
      </c>
      <c r="I96" s="7">
        <v>3.0166155475571772</v>
      </c>
      <c r="J96" s="2">
        <v>30.463576158940398</v>
      </c>
      <c r="K96" s="2">
        <v>26.986754966887418</v>
      </c>
    </row>
    <row r="97" spans="1:11" x14ac:dyDescent="0.3">
      <c r="A97" s="7">
        <v>3.0471450140473162</v>
      </c>
      <c r="B97" s="2">
        <v>24.006622516556291</v>
      </c>
      <c r="C97" s="2">
        <v>13.245033112582782</v>
      </c>
      <c r="E97" s="7">
        <v>3.0866013207570959</v>
      </c>
      <c r="F97" s="2">
        <v>3.3940397350993381</v>
      </c>
      <c r="G97" s="2">
        <v>1.5728476821192046</v>
      </c>
      <c r="I97" s="7">
        <v>2.9496687579265641</v>
      </c>
      <c r="J97" s="2">
        <v>46.771523178807946</v>
      </c>
      <c r="K97" s="2">
        <v>16.970198675496682</v>
      </c>
    </row>
    <row r="98" spans="1:11" x14ac:dyDescent="0.3">
      <c r="A98" s="7">
        <v>2.9679637679996915</v>
      </c>
      <c r="B98" s="2">
        <v>65.976821192052981</v>
      </c>
      <c r="C98" s="2">
        <v>6.3741721854304636</v>
      </c>
      <c r="E98" s="7">
        <v>3.0074200747094708</v>
      </c>
      <c r="F98" s="2">
        <v>15.562913907284768</v>
      </c>
      <c r="G98" s="2">
        <v>1.3245033112582778</v>
      </c>
      <c r="I98" s="7">
        <v>2.8704875118789395</v>
      </c>
      <c r="J98" s="2">
        <v>75.993377483443709</v>
      </c>
      <c r="K98" s="2">
        <v>3.9735099337748352</v>
      </c>
    </row>
    <row r="99" spans="1:11" x14ac:dyDescent="0.3">
      <c r="A99" s="7">
        <v>2.8710537549916353</v>
      </c>
      <c r="B99" s="2">
        <v>84.105960264900659</v>
      </c>
      <c r="C99" s="2">
        <v>3.4768211920529808</v>
      </c>
      <c r="E99" s="7">
        <v>2.9105100617014146</v>
      </c>
      <c r="F99" s="2">
        <v>38.741721854304622</v>
      </c>
      <c r="G99" s="2">
        <v>29.470198675496686</v>
      </c>
      <c r="I99" s="7">
        <v>2.7735774988708828</v>
      </c>
      <c r="J99" s="2">
        <v>69.950331125827816</v>
      </c>
      <c r="K99" s="2">
        <v>2.7317880794701921</v>
      </c>
    </row>
    <row r="100" spans="1:11" x14ac:dyDescent="0.3">
      <c r="A100" s="7">
        <v>2.7461150183833349</v>
      </c>
      <c r="B100" s="2">
        <v>87.33443708609272</v>
      </c>
      <c r="C100" s="2">
        <v>2.400662251655632</v>
      </c>
      <c r="E100" s="7">
        <v>2.7855713250931147</v>
      </c>
      <c r="F100" s="2">
        <v>78.642384105960261</v>
      </c>
      <c r="G100" s="2">
        <v>7.7814569536423903</v>
      </c>
      <c r="I100" s="7">
        <v>2.6486387622625829</v>
      </c>
      <c r="J100" s="2">
        <v>74.75165562913908</v>
      </c>
      <c r="K100" s="2">
        <v>4.2218543046357553</v>
      </c>
    </row>
    <row r="101" spans="1:11" x14ac:dyDescent="0.3">
      <c r="A101" s="7">
        <v>2.621176281775035</v>
      </c>
      <c r="B101" s="2">
        <v>103.39403973509934</v>
      </c>
      <c r="C101" s="2">
        <v>1.7384105960264833</v>
      </c>
      <c r="E101" s="7">
        <v>2.6094800660374333</v>
      </c>
      <c r="F101" s="2">
        <v>92.632450331125824</v>
      </c>
      <c r="G101" s="2">
        <v>2.8973509933774864</v>
      </c>
      <c r="I101" s="7">
        <v>2.4725475032069015</v>
      </c>
      <c r="J101" s="2">
        <v>92.549668874172198</v>
      </c>
      <c r="K101" s="2">
        <v>1.158940397350996</v>
      </c>
    </row>
    <row r="102" spans="1:11" x14ac:dyDescent="0.3">
      <c r="A102" s="7">
        <v>2.3201462861110542</v>
      </c>
      <c r="B102" s="2">
        <v>103.97350993377484</v>
      </c>
      <c r="C102" s="2">
        <v>0.16556291390728717</v>
      </c>
      <c r="E102" s="7">
        <v>2.3084500703734521</v>
      </c>
      <c r="F102" s="2">
        <v>95.44701986754967</v>
      </c>
      <c r="G102" s="2">
        <v>3.725165562913908</v>
      </c>
      <c r="I102" s="7">
        <v>2.1715175075429207</v>
      </c>
      <c r="J102" s="2">
        <v>95.778145695364231</v>
      </c>
      <c r="K102" s="2">
        <v>11.837748344370914</v>
      </c>
    </row>
    <row r="103" spans="1:11" x14ac:dyDescent="0.3">
      <c r="A103" s="7">
        <v>2.019116290447073</v>
      </c>
      <c r="B103" s="2">
        <v>100.24834437086093</v>
      </c>
      <c r="C103" s="2">
        <v>1.241721854304636</v>
      </c>
      <c r="E103" s="7">
        <v>2.0074200747094708</v>
      </c>
      <c r="F103" s="2">
        <v>98.592715231788077</v>
      </c>
      <c r="G103" s="2">
        <v>8.2781456953632926E-2</v>
      </c>
      <c r="I103" s="7">
        <v>1.8704875118789392</v>
      </c>
      <c r="J103" s="2">
        <v>102.81456953642385</v>
      </c>
      <c r="K103" s="2">
        <v>0</v>
      </c>
    </row>
    <row r="105" spans="1:11" x14ac:dyDescent="0.3">
      <c r="A105" s="23" t="s">
        <v>109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</row>
    <row r="107" spans="1:11" x14ac:dyDescent="0.3">
      <c r="A107" s="29" t="s">
        <v>3</v>
      </c>
      <c r="B107" s="29"/>
      <c r="C107" s="29"/>
      <c r="E107" s="29" t="s">
        <v>2</v>
      </c>
      <c r="F107" s="29"/>
      <c r="G107" s="29"/>
      <c r="I107" s="29" t="s">
        <v>0</v>
      </c>
      <c r="J107" s="29"/>
      <c r="K107" s="29"/>
    </row>
    <row r="108" spans="1:11" x14ac:dyDescent="0.3">
      <c r="A108" s="4" t="s">
        <v>47</v>
      </c>
      <c r="B108" s="4" t="s">
        <v>101</v>
      </c>
      <c r="C108" s="22" t="s">
        <v>102</v>
      </c>
      <c r="E108" s="4" t="s">
        <v>47</v>
      </c>
      <c r="F108" s="4" t="s">
        <v>101</v>
      </c>
      <c r="G108" s="22" t="s">
        <v>102</v>
      </c>
      <c r="I108" s="4" t="s">
        <v>47</v>
      </c>
      <c r="J108" s="4" t="s">
        <v>101</v>
      </c>
      <c r="K108" s="22" t="s">
        <v>102</v>
      </c>
    </row>
    <row r="109" spans="1:11" x14ac:dyDescent="0.3">
      <c r="A109" s="7">
        <v>3.8176597916673169</v>
      </c>
      <c r="B109" s="2">
        <v>0</v>
      </c>
      <c r="C109" s="2">
        <v>0</v>
      </c>
      <c r="D109" s="7"/>
      <c r="E109" s="7">
        <v>3.7087849866296176</v>
      </c>
      <c r="F109" s="2">
        <v>0</v>
      </c>
      <c r="G109" s="2">
        <v>0</v>
      </c>
      <c r="H109" s="7"/>
      <c r="I109" s="7">
        <v>3.654589042604147</v>
      </c>
      <c r="J109" s="2">
        <v>0</v>
      </c>
      <c r="K109" s="2">
        <v>0</v>
      </c>
    </row>
    <row r="110" spans="1:11" x14ac:dyDescent="0.3">
      <c r="A110" s="7">
        <v>3.692721055059017</v>
      </c>
      <c r="B110" s="2">
        <v>0</v>
      </c>
      <c r="C110" s="2">
        <v>0</v>
      </c>
      <c r="D110" s="7"/>
      <c r="E110" s="7">
        <v>3.5838462500213177</v>
      </c>
      <c r="F110" s="2">
        <v>0</v>
      </c>
      <c r="G110" s="2">
        <v>0</v>
      </c>
      <c r="H110" s="7"/>
      <c r="I110" s="7">
        <v>3.5296503059958471</v>
      </c>
      <c r="J110" s="2">
        <v>0</v>
      </c>
      <c r="K110" s="2">
        <v>0</v>
      </c>
    </row>
    <row r="111" spans="1:11" x14ac:dyDescent="0.3">
      <c r="A111" s="7">
        <v>3.5166297960033361</v>
      </c>
      <c r="B111" s="2">
        <v>0.33632286995515692</v>
      </c>
      <c r="C111" s="2">
        <v>0.33632286995515692</v>
      </c>
      <c r="D111" s="7"/>
      <c r="E111" s="7">
        <v>3.4077549909656364</v>
      </c>
      <c r="F111" s="2">
        <v>0.16816143497757846</v>
      </c>
      <c r="G111" s="2">
        <v>0.16816143497757846</v>
      </c>
      <c r="H111" s="7"/>
      <c r="I111" s="7">
        <v>3.3535590469401657</v>
      </c>
      <c r="J111" s="2">
        <v>0.67264573991031384</v>
      </c>
      <c r="K111" s="2">
        <v>0.33632286995515681</v>
      </c>
    </row>
    <row r="112" spans="1:11" x14ac:dyDescent="0.3">
      <c r="A112" s="7">
        <v>3.3916910593950358</v>
      </c>
      <c r="B112" s="2">
        <v>2.1860986547085202</v>
      </c>
      <c r="C112" s="2">
        <v>0.33632286995515576</v>
      </c>
      <c r="D112" s="7"/>
      <c r="E112" s="7">
        <v>3.2828162543573365</v>
      </c>
      <c r="F112" s="2">
        <v>1.4293721973094171</v>
      </c>
      <c r="G112" s="2">
        <v>0.75672645739910305</v>
      </c>
      <c r="H112" s="7"/>
      <c r="I112" s="7">
        <v>3.2286203103318658</v>
      </c>
      <c r="J112" s="2">
        <v>1.9338565022421523</v>
      </c>
      <c r="K112" s="2">
        <v>0.92488789237668112</v>
      </c>
    </row>
    <row r="113" spans="1:11" x14ac:dyDescent="0.3">
      <c r="A113" s="7">
        <v>3.2155998003393549</v>
      </c>
      <c r="B113" s="2">
        <v>8.2399103139013441</v>
      </c>
      <c r="C113" s="2">
        <v>1.345291479820623</v>
      </c>
      <c r="D113" s="7"/>
      <c r="E113" s="7">
        <v>3.1067249953016551</v>
      </c>
      <c r="F113" s="2">
        <v>5.3811659192825108</v>
      </c>
      <c r="G113" s="2">
        <v>0.33632286995515681</v>
      </c>
      <c r="H113" s="7"/>
      <c r="I113" s="7">
        <v>3.0525290512761845</v>
      </c>
      <c r="J113" s="2">
        <v>6.3060538116591918</v>
      </c>
      <c r="K113" s="2">
        <v>0.42040358744394668</v>
      </c>
    </row>
    <row r="114" spans="1:11" x14ac:dyDescent="0.3">
      <c r="A114" s="7">
        <v>2.9145698046753736</v>
      </c>
      <c r="B114" s="2">
        <v>25.476457399103136</v>
      </c>
      <c r="C114" s="2">
        <v>1.7656950672645735</v>
      </c>
      <c r="D114" s="7"/>
      <c r="E114" s="7">
        <v>2.8056949996376739</v>
      </c>
      <c r="F114" s="2">
        <v>18.918161434977574</v>
      </c>
      <c r="G114" s="2">
        <v>2.1020179372197245</v>
      </c>
      <c r="H114" s="7"/>
      <c r="I114" s="7">
        <v>2.7514990556122032</v>
      </c>
      <c r="J114" s="2">
        <v>20.011210762331839</v>
      </c>
      <c r="K114" s="2">
        <v>1.6816143497757849</v>
      </c>
    </row>
    <row r="115" spans="1:11" x14ac:dyDescent="0.3">
      <c r="A115" s="7">
        <v>2.6135398090113924</v>
      </c>
      <c r="B115" s="2">
        <v>67.516816143497749</v>
      </c>
      <c r="C115" s="2">
        <v>10.005605381165923</v>
      </c>
      <c r="D115" s="7"/>
      <c r="E115" s="7">
        <v>2.5046650039736926</v>
      </c>
      <c r="F115" s="2">
        <v>47.253363228699548</v>
      </c>
      <c r="G115" s="2">
        <v>0.6726457399103154</v>
      </c>
      <c r="H115" s="7"/>
      <c r="I115" s="7">
        <v>2.450469059948222</v>
      </c>
      <c r="J115" s="2">
        <v>57.174887892376674</v>
      </c>
      <c r="K115" s="2">
        <v>1.6816143497757885</v>
      </c>
    </row>
    <row r="116" spans="1:11" x14ac:dyDescent="0.3">
      <c r="A116" s="7">
        <v>2.3617278360175931</v>
      </c>
      <c r="B116" s="2">
        <v>92.320627802690581</v>
      </c>
      <c r="C116" s="2">
        <v>0.50448430493273833</v>
      </c>
      <c r="D116" s="7"/>
      <c r="E116" s="7">
        <v>2.2528530309798933</v>
      </c>
      <c r="F116" s="2">
        <v>88.452914798206265</v>
      </c>
      <c r="G116" s="2">
        <v>4.7085201793722007</v>
      </c>
      <c r="H116" s="7"/>
      <c r="I116" s="7">
        <v>2.1986570869544226</v>
      </c>
      <c r="J116" s="2">
        <v>98.963004484304918</v>
      </c>
      <c r="K116" s="2">
        <v>4.288116591928258</v>
      </c>
    </row>
    <row r="117" spans="1:11" x14ac:dyDescent="0.3">
      <c r="A117" s="7">
        <v>2.0606978403536118</v>
      </c>
      <c r="B117" s="2">
        <v>91.647982062780244</v>
      </c>
      <c r="C117" s="2">
        <v>3.1950672645739999</v>
      </c>
      <c r="D117" s="7"/>
      <c r="E117" s="7">
        <v>1.9518230353159121</v>
      </c>
      <c r="F117" s="2">
        <v>94.590807174887871</v>
      </c>
      <c r="G117" s="2">
        <v>3.4473094170403584</v>
      </c>
      <c r="H117" s="7"/>
      <c r="I117" s="7">
        <v>1.8976270912904414</v>
      </c>
      <c r="J117" s="2">
        <v>98.878923766816115</v>
      </c>
      <c r="K117" s="2">
        <v>1.681614349775792</v>
      </c>
    </row>
    <row r="118" spans="1:11" x14ac:dyDescent="0.3">
      <c r="A118" s="7">
        <v>1.7596678446896306</v>
      </c>
      <c r="B118" s="2">
        <v>94.422645739910294</v>
      </c>
      <c r="C118" s="2">
        <v>5.9697309417040429</v>
      </c>
      <c r="D118" s="7"/>
      <c r="E118" s="7">
        <v>1.6507930396519308</v>
      </c>
      <c r="F118" s="2">
        <v>100.98094170403587</v>
      </c>
      <c r="G118" s="2">
        <v>1.7656950672645808</v>
      </c>
      <c r="H118" s="7"/>
      <c r="I118" s="7">
        <v>1.5965970956264601</v>
      </c>
      <c r="J118" s="2">
        <v>99.719730941704029</v>
      </c>
      <c r="K118" s="2">
        <v>0.16816143497758418</v>
      </c>
    </row>
    <row r="120" spans="1:11" x14ac:dyDescent="0.3">
      <c r="A120" s="23" t="s">
        <v>110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23"/>
    </row>
    <row r="122" spans="1:11" x14ac:dyDescent="0.3">
      <c r="A122" s="29" t="s">
        <v>3</v>
      </c>
      <c r="B122" s="29"/>
      <c r="C122" s="29"/>
      <c r="E122" s="29" t="s">
        <v>2</v>
      </c>
      <c r="F122" s="29"/>
      <c r="G122" s="29"/>
      <c r="I122" s="29" t="s">
        <v>0</v>
      </c>
      <c r="J122" s="29"/>
      <c r="K122" s="29"/>
    </row>
    <row r="123" spans="1:11" x14ac:dyDescent="0.3">
      <c r="A123" s="4" t="s">
        <v>47</v>
      </c>
      <c r="B123" s="4" t="s">
        <v>101</v>
      </c>
      <c r="C123" s="22" t="s">
        <v>102</v>
      </c>
      <c r="E123" s="4" t="s">
        <v>47</v>
      </c>
      <c r="F123" s="4" t="s">
        <v>101</v>
      </c>
      <c r="G123" s="22" t="s">
        <v>102</v>
      </c>
      <c r="I123" s="4" t="s">
        <v>47</v>
      </c>
      <c r="J123" s="4" t="s">
        <v>101</v>
      </c>
      <c r="K123" s="22" t="s">
        <v>102</v>
      </c>
    </row>
    <row r="124" spans="1:11" x14ac:dyDescent="0.3">
      <c r="A124" s="7">
        <v>3.247162809039331</v>
      </c>
      <c r="B124" s="1">
        <v>2.7724665391969405</v>
      </c>
      <c r="C124" s="1">
        <v>2.7724665391969405</v>
      </c>
      <c r="E124" s="7">
        <v>3.3045551501204415</v>
      </c>
      <c r="F124" s="2">
        <v>0</v>
      </c>
      <c r="G124" s="2">
        <v>0</v>
      </c>
      <c r="I124" s="7">
        <v>3.2891651526498893</v>
      </c>
      <c r="J124" s="2">
        <v>0.6692160611854685</v>
      </c>
      <c r="K124" s="2">
        <v>9.5602294455066295E-2</v>
      </c>
    </row>
    <row r="125" spans="1:11" x14ac:dyDescent="0.3">
      <c r="A125" s="7">
        <v>3.1332194567324945</v>
      </c>
      <c r="B125" s="1">
        <v>11.185468451242828</v>
      </c>
      <c r="C125" s="1">
        <v>5.0669216061185489</v>
      </c>
      <c r="E125" s="7">
        <v>3.190611797813605</v>
      </c>
      <c r="F125" s="2">
        <v>2.581261950286807</v>
      </c>
      <c r="G125" s="2">
        <v>0.47801147227533308</v>
      </c>
      <c r="I125" s="7">
        <v>3.1752218003430523</v>
      </c>
      <c r="J125" s="2">
        <v>9.9426386233269604</v>
      </c>
      <c r="K125" s="2">
        <v>1.3384321223709303</v>
      </c>
    </row>
    <row r="126" spans="1:11" x14ac:dyDescent="0.3">
      <c r="A126" s="7">
        <v>3.0540382106848694</v>
      </c>
      <c r="B126" s="1">
        <v>21.510516252390055</v>
      </c>
      <c r="C126" s="1">
        <v>12.523900573613762</v>
      </c>
      <c r="E126" s="7">
        <v>3.1114305517659799</v>
      </c>
      <c r="F126" s="2">
        <v>13.862332695984703</v>
      </c>
      <c r="G126" s="2">
        <v>3.3460803059273441</v>
      </c>
      <c r="I126" s="7">
        <v>3.0960405542954277</v>
      </c>
      <c r="J126" s="2">
        <v>21.319311663479922</v>
      </c>
      <c r="K126" s="2">
        <v>7.3613766730401604</v>
      </c>
    </row>
    <row r="127" spans="1:11" x14ac:dyDescent="0.3">
      <c r="A127" s="7">
        <v>2.9571281976768131</v>
      </c>
      <c r="B127" s="1">
        <v>17.877629063097512</v>
      </c>
      <c r="C127" s="1">
        <v>3.154875717017211</v>
      </c>
      <c r="E127" s="7">
        <v>3.0145205387579237</v>
      </c>
      <c r="F127" s="2">
        <v>38.718929254302097</v>
      </c>
      <c r="G127" s="2">
        <v>19.024856596558319</v>
      </c>
      <c r="I127" s="7">
        <v>2.999130541287371</v>
      </c>
      <c r="J127" s="2">
        <v>26.577437858508599</v>
      </c>
      <c r="K127" s="2">
        <v>2.4856596558317392</v>
      </c>
    </row>
    <row r="128" spans="1:11" x14ac:dyDescent="0.3">
      <c r="A128" s="7">
        <v>2.8321894610685132</v>
      </c>
      <c r="B128" s="1">
        <v>61.854684512428292</v>
      </c>
      <c r="C128" s="1">
        <v>10.229445506692166</v>
      </c>
      <c r="E128" s="7">
        <v>2.8895818021496238</v>
      </c>
      <c r="F128" s="2">
        <v>34.799235181644356</v>
      </c>
      <c r="G128" s="2">
        <v>4.397705544933082</v>
      </c>
      <c r="I128" s="7">
        <v>2.8741918046790711</v>
      </c>
      <c r="J128" s="2">
        <v>43.212237093690241</v>
      </c>
      <c r="K128" s="2">
        <v>3.8240917782026784</v>
      </c>
    </row>
    <row r="129" spans="1:11" x14ac:dyDescent="0.3">
      <c r="A129" s="7">
        <v>2.6560982020128319</v>
      </c>
      <c r="B129" s="1">
        <v>67.112810707456973</v>
      </c>
      <c r="C129" s="1">
        <v>5.162523900573607</v>
      </c>
      <c r="E129" s="7">
        <v>2.7134905430939424</v>
      </c>
      <c r="F129" s="2">
        <v>82.600382409177797</v>
      </c>
      <c r="G129" s="2">
        <v>6.3097514340344034</v>
      </c>
      <c r="I129" s="7">
        <v>2.6981005456233897</v>
      </c>
      <c r="J129" s="2">
        <v>76.673040152963679</v>
      </c>
      <c r="K129" s="2">
        <v>10.516252390057373</v>
      </c>
    </row>
    <row r="130" spans="1:11" x14ac:dyDescent="0.3">
      <c r="A130" s="7">
        <v>2.531159465404532</v>
      </c>
      <c r="B130" s="1">
        <v>99.521988527724659</v>
      </c>
      <c r="C130" s="1">
        <v>7.1701720841300229</v>
      </c>
      <c r="E130" s="7">
        <v>2.5885518064856425</v>
      </c>
      <c r="F130" s="2">
        <v>95.219885277246647</v>
      </c>
      <c r="G130" s="2">
        <v>0</v>
      </c>
      <c r="I130" s="7">
        <v>2.5731618090150898</v>
      </c>
      <c r="J130" s="2">
        <v>86.328871892925434</v>
      </c>
      <c r="K130" s="2">
        <v>4.110898661567866</v>
      </c>
    </row>
    <row r="131" spans="1:11" x14ac:dyDescent="0.3">
      <c r="A131" s="7">
        <v>2.3550682063488506</v>
      </c>
      <c r="B131" s="1">
        <v>97.896749521988525</v>
      </c>
      <c r="C131" s="1">
        <v>8.4130019120458854</v>
      </c>
      <c r="E131" s="7">
        <v>2.4124605474299612</v>
      </c>
      <c r="F131" s="2">
        <v>105.06692160611856</v>
      </c>
      <c r="G131" s="2">
        <v>2.3900573613766767</v>
      </c>
      <c r="I131" s="7">
        <v>2.3970705499594089</v>
      </c>
      <c r="J131" s="2">
        <v>93.881453154875715</v>
      </c>
      <c r="K131" s="2">
        <v>1.3384321223709392</v>
      </c>
    </row>
    <row r="132" spans="1:11" x14ac:dyDescent="0.3">
      <c r="A132" s="7">
        <v>2.0540382106848694</v>
      </c>
      <c r="B132" s="1">
        <v>107.26577437858509</v>
      </c>
      <c r="C132" s="1">
        <v>1.9120458891013286</v>
      </c>
      <c r="E132" s="7">
        <v>2.1114305517659799</v>
      </c>
      <c r="F132" s="2">
        <v>110.22944550669214</v>
      </c>
      <c r="G132" s="2">
        <v>1.2428298279158625</v>
      </c>
      <c r="I132" s="7">
        <v>2.0960405542954277</v>
      </c>
      <c r="J132" s="2">
        <v>100.38240917782028</v>
      </c>
      <c r="K132" s="2">
        <v>7.4569789674952105</v>
      </c>
    </row>
    <row r="133" spans="1:11" x14ac:dyDescent="0.3">
      <c r="A133" s="7">
        <v>1.7530082150208883</v>
      </c>
      <c r="B133" s="1">
        <v>116.92160611854685</v>
      </c>
      <c r="C133" s="1">
        <v>5.2581261950286802</v>
      </c>
      <c r="E133" s="7">
        <v>1.8104005561019989</v>
      </c>
      <c r="F133" s="2">
        <v>110.32504780114721</v>
      </c>
      <c r="G133" s="2">
        <v>3.0592734225621427</v>
      </c>
      <c r="I133" s="7">
        <v>1.7950105586314464</v>
      </c>
      <c r="J133" s="2">
        <v>100.5736137667304</v>
      </c>
      <c r="K133" s="2">
        <v>6.8833652007648212</v>
      </c>
    </row>
    <row r="135" spans="1:11" x14ac:dyDescent="0.3">
      <c r="A135" s="23" t="s">
        <v>111</v>
      </c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7" spans="1:11" x14ac:dyDescent="0.3">
      <c r="A137" s="29" t="s">
        <v>3</v>
      </c>
      <c r="B137" s="29"/>
      <c r="C137" s="29"/>
      <c r="E137" s="29" t="s">
        <v>2</v>
      </c>
      <c r="F137" s="29"/>
      <c r="G137" s="29"/>
      <c r="I137" s="29" t="s">
        <v>0</v>
      </c>
      <c r="J137" s="29"/>
      <c r="K137" s="29"/>
    </row>
    <row r="138" spans="1:11" x14ac:dyDescent="0.3">
      <c r="A138" s="4" t="s">
        <v>47</v>
      </c>
      <c r="B138" s="4" t="s">
        <v>101</v>
      </c>
      <c r="C138" s="22" t="s">
        <v>102</v>
      </c>
      <c r="E138" s="4" t="s">
        <v>47</v>
      </c>
      <c r="F138" s="4" t="s">
        <v>101</v>
      </c>
      <c r="G138" s="22" t="s">
        <v>102</v>
      </c>
      <c r="I138" s="4" t="s">
        <v>47</v>
      </c>
      <c r="J138" s="4" t="s">
        <v>101</v>
      </c>
      <c r="K138" s="22" t="s">
        <v>102</v>
      </c>
    </row>
    <row r="139" spans="1:11" x14ac:dyDescent="0.3">
      <c r="A139" s="7">
        <v>3.5932860670204572</v>
      </c>
      <c r="B139" s="2">
        <v>0</v>
      </c>
      <c r="C139" s="2">
        <v>0</v>
      </c>
      <c r="D139" s="7"/>
      <c r="E139" s="7">
        <v>3.6273658565927325</v>
      </c>
      <c r="F139" s="2">
        <v>0</v>
      </c>
      <c r="G139" s="2">
        <v>0</v>
      </c>
      <c r="H139" s="7"/>
      <c r="I139" s="7">
        <v>3.6072405038317426</v>
      </c>
      <c r="J139" s="2">
        <v>0</v>
      </c>
      <c r="K139" s="2">
        <v>0</v>
      </c>
    </row>
    <row r="140" spans="1:11" x14ac:dyDescent="0.3">
      <c r="A140" s="7">
        <v>3.4683473304121573</v>
      </c>
      <c r="B140" s="2">
        <v>0</v>
      </c>
      <c r="C140" s="2">
        <v>0</v>
      </c>
      <c r="D140" s="7"/>
      <c r="E140" s="7">
        <v>3.5024271199844326</v>
      </c>
      <c r="F140" s="2">
        <v>0.18083182640144668</v>
      </c>
      <c r="G140" s="2">
        <v>0.18083182640144668</v>
      </c>
      <c r="H140" s="7"/>
      <c r="I140" s="7">
        <v>3.4823017672234426</v>
      </c>
      <c r="J140" s="2">
        <v>0</v>
      </c>
      <c r="K140" s="2">
        <v>0</v>
      </c>
    </row>
    <row r="141" spans="1:11" x14ac:dyDescent="0.3">
      <c r="A141" s="7">
        <v>3.2922560713564759</v>
      </c>
      <c r="B141" s="2">
        <v>0.45207956600361671</v>
      </c>
      <c r="C141" s="2">
        <v>9.0415913200723286E-2</v>
      </c>
      <c r="D141" s="7"/>
      <c r="E141" s="7">
        <v>3.3263358609287512</v>
      </c>
      <c r="F141" s="2">
        <v>0.18083182640144668</v>
      </c>
      <c r="G141" s="2">
        <v>0.18083182640144668</v>
      </c>
      <c r="H141" s="7"/>
      <c r="I141" s="7">
        <v>3.3062105081677613</v>
      </c>
      <c r="J141" s="2">
        <v>0.36166365280289337</v>
      </c>
      <c r="K141" s="2">
        <v>0</v>
      </c>
    </row>
    <row r="142" spans="1:11" x14ac:dyDescent="0.3">
      <c r="A142" s="7">
        <v>3.167317334748176</v>
      </c>
      <c r="B142" s="2">
        <v>1.6274864376130198</v>
      </c>
      <c r="C142" s="2">
        <v>0.90415913200723319</v>
      </c>
      <c r="D142" s="7"/>
      <c r="E142" s="7">
        <v>3.2013971243204513</v>
      </c>
      <c r="F142" s="2">
        <v>1.7179023508137432</v>
      </c>
      <c r="G142" s="2">
        <v>9.0415913200723175E-2</v>
      </c>
      <c r="H142" s="7"/>
      <c r="I142" s="7">
        <v>3.1812717715594614</v>
      </c>
      <c r="J142" s="2">
        <v>1.0849909584086803</v>
      </c>
      <c r="K142" s="2">
        <v>0.72332730560578662</v>
      </c>
    </row>
    <row r="143" spans="1:11" x14ac:dyDescent="0.3">
      <c r="A143" s="7">
        <v>2.9912260756924947</v>
      </c>
      <c r="B143" s="2">
        <v>7.0524412296564201</v>
      </c>
      <c r="C143" s="2">
        <v>2.8933092224231465</v>
      </c>
      <c r="D143" s="7"/>
      <c r="E143" s="7">
        <v>3.0253058652647704</v>
      </c>
      <c r="F143" s="2">
        <v>6.5099457504520801</v>
      </c>
      <c r="G143" s="2">
        <v>1.6274864376130178</v>
      </c>
      <c r="H143" s="7"/>
      <c r="I143" s="7">
        <v>3.0051805125037805</v>
      </c>
      <c r="J143" s="2">
        <v>4.4303797468354436</v>
      </c>
      <c r="K143" s="2">
        <v>9.0415913200723175E-2</v>
      </c>
    </row>
    <row r="144" spans="1:11" x14ac:dyDescent="0.3">
      <c r="A144" s="7">
        <v>2.6901960800285138</v>
      </c>
      <c r="B144" s="2">
        <v>29.74683544303798</v>
      </c>
      <c r="C144" s="2">
        <v>5.5153707052441225</v>
      </c>
      <c r="D144" s="7"/>
      <c r="E144" s="7">
        <v>2.7242758696007892</v>
      </c>
      <c r="F144" s="2">
        <v>26.039783001808317</v>
      </c>
      <c r="G144" s="2">
        <v>1.9891500904159134</v>
      </c>
      <c r="H144" s="7"/>
      <c r="I144" s="7">
        <v>2.7041505168397992</v>
      </c>
      <c r="J144" s="2">
        <v>32.911392405063296</v>
      </c>
      <c r="K144" s="2">
        <v>1.6274864376130207</v>
      </c>
    </row>
    <row r="145" spans="1:11" x14ac:dyDescent="0.3">
      <c r="A145" s="7">
        <v>2.3891660843645326</v>
      </c>
      <c r="B145" s="2">
        <v>61.663652802893317</v>
      </c>
      <c r="C145" s="2">
        <v>7.9566003616636785</v>
      </c>
      <c r="D145" s="7"/>
      <c r="E145" s="7">
        <v>2.4232458739368079</v>
      </c>
      <c r="F145" s="2">
        <v>63.20072332730561</v>
      </c>
      <c r="G145" s="2">
        <v>1.8987341772151858</v>
      </c>
      <c r="H145" s="7"/>
      <c r="I145" s="7">
        <v>2.403120521175818</v>
      </c>
      <c r="J145" s="2">
        <v>74.773960216998205</v>
      </c>
      <c r="K145" s="2">
        <v>5.3345388788426717</v>
      </c>
    </row>
    <row r="146" spans="1:11" x14ac:dyDescent="0.3">
      <c r="A146" s="7">
        <v>2.1373541113707328</v>
      </c>
      <c r="B146" s="2">
        <v>79.566003616636522</v>
      </c>
      <c r="C146" s="2">
        <v>3.7974683544303716</v>
      </c>
      <c r="D146" s="7"/>
      <c r="E146" s="7">
        <v>2.1714339009430086</v>
      </c>
      <c r="F146" s="2">
        <v>82.549728752260393</v>
      </c>
      <c r="G146" s="2">
        <v>0.45207956600361143</v>
      </c>
      <c r="H146" s="7"/>
      <c r="I146" s="7">
        <v>2.1513085481820182</v>
      </c>
      <c r="J146" s="2">
        <v>77.938517179023506</v>
      </c>
      <c r="K146" s="2">
        <v>0.54249547920434793</v>
      </c>
    </row>
    <row r="147" spans="1:11" x14ac:dyDescent="0.3">
      <c r="A147" s="7">
        <v>1.8363241157067518</v>
      </c>
      <c r="B147" s="2">
        <v>87.522603978300197</v>
      </c>
      <c r="C147" s="2">
        <v>1.808318264014467</v>
      </c>
      <c r="D147" s="7"/>
      <c r="E147" s="7">
        <v>1.8704039052790271</v>
      </c>
      <c r="F147" s="2">
        <v>91.952983725135624</v>
      </c>
      <c r="G147" s="2">
        <v>0.99457504520795936</v>
      </c>
      <c r="H147" s="7"/>
      <c r="I147" s="7">
        <v>1.8502785525180372</v>
      </c>
      <c r="J147" s="2">
        <v>101.17540687160941</v>
      </c>
      <c r="K147" s="2">
        <v>3.3453887884267601</v>
      </c>
    </row>
    <row r="148" spans="1:11" x14ac:dyDescent="0.3">
      <c r="A148" s="7">
        <v>1.5352941200427705</v>
      </c>
      <c r="B148" s="2">
        <v>92.495479204339972</v>
      </c>
      <c r="C148" s="2">
        <v>2.4412296564195302</v>
      </c>
      <c r="D148" s="7"/>
      <c r="E148" s="7">
        <v>1.5693739096150461</v>
      </c>
      <c r="F148" s="2">
        <v>91.048824593128401</v>
      </c>
      <c r="G148" s="2">
        <v>0.99457504520795226</v>
      </c>
      <c r="H148" s="7"/>
      <c r="I148" s="7">
        <v>1.5492485568540559</v>
      </c>
      <c r="J148" s="2">
        <v>93.30922242314648</v>
      </c>
      <c r="K148" s="2">
        <v>1.9891500904159116</v>
      </c>
    </row>
  </sheetData>
  <mergeCells count="40">
    <mergeCell ref="A7:K7"/>
    <mergeCell ref="A9:C9"/>
    <mergeCell ref="E9:G9"/>
    <mergeCell ref="I9:K9"/>
    <mergeCell ref="A21:K21"/>
    <mergeCell ref="A23:C23"/>
    <mergeCell ref="E23:G23"/>
    <mergeCell ref="I23:K23"/>
    <mergeCell ref="A35:K35"/>
    <mergeCell ref="A37:C37"/>
    <mergeCell ref="E37:G37"/>
    <mergeCell ref="I37:K37"/>
    <mergeCell ref="A48:K48"/>
    <mergeCell ref="A50:C50"/>
    <mergeCell ref="E50:G50"/>
    <mergeCell ref="I50:K50"/>
    <mergeCell ref="A62:K62"/>
    <mergeCell ref="A64:C64"/>
    <mergeCell ref="E64:G64"/>
    <mergeCell ref="I64:K64"/>
    <mergeCell ref="A75:K75"/>
    <mergeCell ref="A77:C77"/>
    <mergeCell ref="E77:G77"/>
    <mergeCell ref="I77:K77"/>
    <mergeCell ref="A90:K90"/>
    <mergeCell ref="A92:C92"/>
    <mergeCell ref="E92:G92"/>
    <mergeCell ref="I92:K92"/>
    <mergeCell ref="A105:K105"/>
    <mergeCell ref="A107:C107"/>
    <mergeCell ref="E107:G107"/>
    <mergeCell ref="I107:K107"/>
    <mergeCell ref="A120:K120"/>
    <mergeCell ref="A122:C122"/>
    <mergeCell ref="E122:G122"/>
    <mergeCell ref="I122:K122"/>
    <mergeCell ref="A135:K135"/>
    <mergeCell ref="A137:C137"/>
    <mergeCell ref="E137:G137"/>
    <mergeCell ref="I137:K13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A52" workbookViewId="0">
      <selection activeCell="M34" sqref="M34"/>
    </sheetView>
  </sheetViews>
  <sheetFormatPr baseColWidth="10" defaultRowHeight="14.4" x14ac:dyDescent="0.3"/>
  <sheetData>
    <row r="1" spans="1:11" x14ac:dyDescent="0.3">
      <c r="A1" s="8" t="s">
        <v>47</v>
      </c>
    </row>
    <row r="2" spans="1:11" x14ac:dyDescent="0.3">
      <c r="A2" t="s">
        <v>112</v>
      </c>
    </row>
    <row r="3" spans="1:11" x14ac:dyDescent="0.3">
      <c r="A3" s="8" t="s">
        <v>101</v>
      </c>
    </row>
    <row r="4" spans="1:11" x14ac:dyDescent="0.3">
      <c r="A4" t="s">
        <v>97</v>
      </c>
    </row>
    <row r="5" spans="1:11" x14ac:dyDescent="0.3">
      <c r="A5" s="21" t="s">
        <v>98</v>
      </c>
    </row>
    <row r="8" spans="1:11" x14ac:dyDescent="0.3">
      <c r="A8" s="23" t="s">
        <v>113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10" spans="1:11" x14ac:dyDescent="0.3">
      <c r="A10" s="29" t="s">
        <v>3</v>
      </c>
      <c r="B10" s="29"/>
      <c r="C10" s="29"/>
      <c r="E10" s="29" t="s">
        <v>2</v>
      </c>
      <c r="F10" s="29"/>
      <c r="G10" s="29"/>
      <c r="I10" s="29" t="s">
        <v>0</v>
      </c>
      <c r="J10" s="29"/>
      <c r="K10" s="29"/>
    </row>
    <row r="11" spans="1:11" x14ac:dyDescent="0.3">
      <c r="A11" t="s">
        <v>47</v>
      </c>
      <c r="B11" t="s">
        <v>101</v>
      </c>
      <c r="C11" s="22" t="s">
        <v>102</v>
      </c>
      <c r="E11" t="s">
        <v>47</v>
      </c>
      <c r="F11" t="s">
        <v>101</v>
      </c>
      <c r="G11" s="22" t="s">
        <v>102</v>
      </c>
      <c r="I11" t="s">
        <v>47</v>
      </c>
      <c r="J11" t="s">
        <v>101</v>
      </c>
      <c r="K11" s="22" t="s">
        <v>102</v>
      </c>
    </row>
    <row r="12" spans="1:11" x14ac:dyDescent="0.3">
      <c r="A12" s="7">
        <v>3.0663725209826933</v>
      </c>
      <c r="B12" s="2">
        <v>1.5652173913043479</v>
      </c>
      <c r="C12" s="2">
        <v>0.39130434782608686</v>
      </c>
      <c r="D12" s="7"/>
      <c r="E12" s="7">
        <v>3.1884855305608926</v>
      </c>
      <c r="F12" s="2">
        <v>1.8913043478260869</v>
      </c>
      <c r="G12" s="2">
        <v>6.5217391304348116E-2</v>
      </c>
      <c r="H12" s="7"/>
      <c r="I12" s="7">
        <v>3.1488724627911036</v>
      </c>
      <c r="J12" s="2">
        <v>0.78260869565217395</v>
      </c>
      <c r="K12" s="2">
        <v>0</v>
      </c>
    </row>
    <row r="13" spans="1:11" x14ac:dyDescent="0.3">
      <c r="A13" s="7">
        <v>2.7763379096201755</v>
      </c>
      <c r="B13" s="2">
        <v>14.478260869565219</v>
      </c>
      <c r="C13" s="2">
        <v>4.8260869565217392</v>
      </c>
      <c r="D13" s="7"/>
      <c r="E13" s="7">
        <v>2.8984509191983747</v>
      </c>
      <c r="F13" s="2">
        <v>25.760869565217394</v>
      </c>
      <c r="G13" s="2">
        <v>0.58695652173912904</v>
      </c>
      <c r="H13" s="7"/>
      <c r="I13" s="7">
        <v>2.8588378514285853</v>
      </c>
      <c r="J13" s="2">
        <v>11.804347826086957</v>
      </c>
      <c r="K13" s="2">
        <v>0.97826086956521685</v>
      </c>
    </row>
    <row r="14" spans="1:11" x14ac:dyDescent="0.3">
      <c r="A14" s="7">
        <v>2.174277918292213</v>
      </c>
      <c r="B14" s="2">
        <v>96.521739130434781</v>
      </c>
      <c r="C14" s="2">
        <v>0.13043478260868824</v>
      </c>
      <c r="D14" s="7"/>
      <c r="E14" s="7">
        <v>2.2963909278704122</v>
      </c>
      <c r="F14" s="2">
        <v>99.586956521739125</v>
      </c>
      <c r="G14" s="2">
        <v>2.6739130434782581</v>
      </c>
      <c r="H14" s="7"/>
      <c r="I14" s="7">
        <v>2.2567778601006232</v>
      </c>
      <c r="J14" s="2">
        <v>103.5</v>
      </c>
      <c r="K14" s="2">
        <v>4.7608695652173836</v>
      </c>
    </row>
    <row r="15" spans="1:1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3">
      <c r="A16" s="23" t="s">
        <v>114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8" spans="1:11" x14ac:dyDescent="0.3">
      <c r="A18" s="29" t="s">
        <v>3</v>
      </c>
      <c r="B18" s="29"/>
      <c r="C18" s="29"/>
      <c r="E18" s="29" t="s">
        <v>2</v>
      </c>
      <c r="F18" s="29"/>
      <c r="G18" s="29"/>
      <c r="I18" s="29" t="s">
        <v>0</v>
      </c>
      <c r="J18" s="29"/>
      <c r="K18" s="29"/>
    </row>
    <row r="19" spans="1:11" x14ac:dyDescent="0.3">
      <c r="A19" t="s">
        <v>47</v>
      </c>
      <c r="B19" t="s">
        <v>101</v>
      </c>
      <c r="C19" s="22" t="s">
        <v>102</v>
      </c>
      <c r="E19" t="s">
        <v>47</v>
      </c>
      <c r="F19" t="s">
        <v>101</v>
      </c>
      <c r="G19" s="22" t="s">
        <v>102</v>
      </c>
      <c r="I19" t="s">
        <v>47</v>
      </c>
      <c r="J19" t="s">
        <v>101</v>
      </c>
      <c r="K19" s="22" t="s">
        <v>102</v>
      </c>
    </row>
    <row r="20" spans="1:11" x14ac:dyDescent="0.3">
      <c r="A20" s="7">
        <v>3.7058423389980613</v>
      </c>
      <c r="B20" s="2">
        <v>0</v>
      </c>
      <c r="C20" s="2">
        <v>0</v>
      </c>
      <c r="D20" s="7"/>
      <c r="E20" s="7">
        <v>3.730156214550322</v>
      </c>
      <c r="F20" s="1">
        <v>0</v>
      </c>
      <c r="G20" s="1">
        <v>0</v>
      </c>
      <c r="H20" s="7"/>
      <c r="I20" s="7">
        <v>3.7181694053913068</v>
      </c>
      <c r="J20" s="2">
        <v>0</v>
      </c>
      <c r="K20" s="2">
        <v>0</v>
      </c>
    </row>
    <row r="21" spans="1:11" x14ac:dyDescent="0.3">
      <c r="A21" s="7">
        <v>3.4158077276355434</v>
      </c>
      <c r="B21" s="2">
        <v>0.3169014084507043</v>
      </c>
      <c r="C21" s="2">
        <v>0.3169014084507043</v>
      </c>
      <c r="D21" s="7"/>
      <c r="E21" s="7">
        <v>3.4401216031878037</v>
      </c>
      <c r="F21" s="1">
        <v>0.95070422535211296</v>
      </c>
      <c r="G21" s="1">
        <v>0.31690140845070408</v>
      </c>
      <c r="H21" s="7"/>
      <c r="I21" s="7">
        <v>3.428134794028789</v>
      </c>
      <c r="J21" s="2">
        <v>0.84507042253521125</v>
      </c>
      <c r="K21" s="2">
        <v>0.63380281690140861</v>
      </c>
    </row>
    <row r="22" spans="1:11" x14ac:dyDescent="0.3">
      <c r="A22" s="7">
        <v>2.8137477363075809</v>
      </c>
      <c r="B22" s="2">
        <v>22.5</v>
      </c>
      <c r="C22" s="2">
        <v>1.373239436619718</v>
      </c>
      <c r="D22" s="7"/>
      <c r="E22" s="7">
        <v>2.8380616118598416</v>
      </c>
      <c r="F22" s="1">
        <v>20.070422535211272</v>
      </c>
      <c r="G22" s="1">
        <v>3.3802816901408259</v>
      </c>
      <c r="H22" s="7"/>
      <c r="I22" s="7">
        <v>2.8260748027008264</v>
      </c>
      <c r="J22" s="2">
        <v>13.204225352112678</v>
      </c>
      <c r="K22" s="2">
        <v>2.6408450704225368</v>
      </c>
    </row>
    <row r="23" spans="1:11" x14ac:dyDescent="0.3">
      <c r="A23" s="7">
        <v>2.2908689910272435</v>
      </c>
      <c r="B23" s="2">
        <v>81.126760563380287</v>
      </c>
      <c r="C23" s="2">
        <v>3.3802816901408477</v>
      </c>
      <c r="D23" s="7"/>
      <c r="E23" s="7">
        <v>2.3151828665795038</v>
      </c>
      <c r="F23" s="1">
        <v>82.711267605633822</v>
      </c>
      <c r="G23" s="1">
        <v>3.6971830985915446</v>
      </c>
      <c r="H23" s="7"/>
      <c r="I23" s="7">
        <v>2.3031960574204891</v>
      </c>
      <c r="J23" s="2">
        <v>92.007042253521135</v>
      </c>
      <c r="K23" s="2">
        <v>6.6549295774647845</v>
      </c>
    </row>
    <row r="25" spans="1:11" x14ac:dyDescent="0.3">
      <c r="A25" s="23" t="s">
        <v>115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7" spans="1:11" x14ac:dyDescent="0.3">
      <c r="A27" s="29" t="s">
        <v>3</v>
      </c>
      <c r="B27" s="29"/>
      <c r="C27" s="29"/>
      <c r="E27" s="29" t="s">
        <v>2</v>
      </c>
      <c r="F27" s="29"/>
      <c r="G27" s="29"/>
      <c r="I27" s="29" t="s">
        <v>0</v>
      </c>
      <c r="J27" s="29"/>
      <c r="K27" s="29"/>
    </row>
    <row r="28" spans="1:11" x14ac:dyDescent="0.3">
      <c r="A28" t="s">
        <v>47</v>
      </c>
      <c r="B28" t="s">
        <v>101</v>
      </c>
      <c r="C28" s="22" t="s">
        <v>102</v>
      </c>
      <c r="E28" t="s">
        <v>47</v>
      </c>
      <c r="F28" t="s">
        <v>101</v>
      </c>
      <c r="G28" s="22" t="s">
        <v>102</v>
      </c>
      <c r="I28" t="s">
        <v>47</v>
      </c>
      <c r="J28" t="s">
        <v>101</v>
      </c>
      <c r="K28" s="22" t="s">
        <v>102</v>
      </c>
    </row>
    <row r="29" spans="1:11" x14ac:dyDescent="0.3">
      <c r="A29" s="7">
        <v>3.2292209437027384</v>
      </c>
      <c r="B29" s="2">
        <v>57.813280079880172</v>
      </c>
      <c r="C29" s="2">
        <v>7.1892161757364352</v>
      </c>
      <c r="E29" s="7">
        <v>3.2946425536028716</v>
      </c>
      <c r="F29" s="2">
        <v>57.438841737393901</v>
      </c>
      <c r="G29" s="2">
        <v>9.810284573140299</v>
      </c>
      <c r="I29" s="7">
        <v>3.3423437110098413</v>
      </c>
      <c r="J29" s="2">
        <v>85.521717423864203</v>
      </c>
      <c r="K29" s="2">
        <v>1.9470793809286064</v>
      </c>
    </row>
    <row r="30" spans="1:11" x14ac:dyDescent="0.3">
      <c r="A30" s="7">
        <v>3.1152775913959014</v>
      </c>
      <c r="B30" s="2">
        <v>73.389915127309024</v>
      </c>
      <c r="C30" s="2">
        <v>4.9425861208187669</v>
      </c>
      <c r="E30" s="7">
        <v>3.1806992012960347</v>
      </c>
      <c r="F30" s="2">
        <v>71.592611083374933</v>
      </c>
      <c r="G30" s="2">
        <v>9.5856215676484791</v>
      </c>
      <c r="I30" s="7">
        <v>3.2284003587030048</v>
      </c>
      <c r="J30" s="2">
        <v>86.045931103344969</v>
      </c>
      <c r="K30" s="2">
        <v>7.4887668497247262E-2</v>
      </c>
    </row>
    <row r="31" spans="1:11" x14ac:dyDescent="0.3">
      <c r="A31" s="7">
        <v>3.0360963453482768</v>
      </c>
      <c r="B31" s="2">
        <v>74.063904143784328</v>
      </c>
      <c r="C31" s="2">
        <v>4.7179231153270109</v>
      </c>
      <c r="E31" s="7">
        <v>3.10151795524841</v>
      </c>
      <c r="F31" s="2">
        <v>90.239640539191214</v>
      </c>
      <c r="G31" s="2">
        <v>2.1717423864203624</v>
      </c>
      <c r="I31" s="7">
        <v>3.1492191126553797</v>
      </c>
      <c r="J31" s="2">
        <v>85.596605092361443</v>
      </c>
      <c r="K31" s="2">
        <v>0.52421367948077346</v>
      </c>
    </row>
    <row r="32" spans="1:11" x14ac:dyDescent="0.3">
      <c r="A32" s="7">
        <v>2.9391863323402201</v>
      </c>
      <c r="B32" s="2">
        <v>96.005991013479786</v>
      </c>
      <c r="C32" s="2">
        <v>3.295057413879185</v>
      </c>
      <c r="E32" s="7">
        <v>3.0046079422403533</v>
      </c>
      <c r="F32" s="2">
        <v>88.21767348976536</v>
      </c>
      <c r="G32" s="2">
        <v>4.7928107838242582</v>
      </c>
      <c r="I32" s="7">
        <v>3.0523090996473234</v>
      </c>
      <c r="J32" s="2">
        <v>97.35396904643035</v>
      </c>
      <c r="K32" s="2">
        <v>4.3434847728407391</v>
      </c>
    </row>
    <row r="33" spans="1:11" x14ac:dyDescent="0.3">
      <c r="A33" s="7">
        <v>2.8142475957319202</v>
      </c>
      <c r="B33" s="2">
        <v>91.362955566650029</v>
      </c>
      <c r="C33" s="2">
        <v>3.2950574138791779</v>
      </c>
      <c r="E33" s="7">
        <v>2.8796692056320534</v>
      </c>
      <c r="F33" s="2">
        <v>91.587618572141793</v>
      </c>
      <c r="G33" s="2">
        <v>3.8192710933599727</v>
      </c>
      <c r="I33" s="7">
        <v>2.9273703630390235</v>
      </c>
      <c r="J33" s="2">
        <v>96.979530703944079</v>
      </c>
      <c r="K33" s="2">
        <v>0.67398901647529641</v>
      </c>
    </row>
    <row r="34" spans="1:11" x14ac:dyDescent="0.3">
      <c r="A34" s="7">
        <v>2.6381563366762388</v>
      </c>
      <c r="B34" s="2">
        <v>99.600599101347981</v>
      </c>
      <c r="C34" s="2">
        <v>3.8941587618572129</v>
      </c>
      <c r="E34" s="7">
        <v>2.7035779465763721</v>
      </c>
      <c r="F34" s="2">
        <v>95.781328007988023</v>
      </c>
      <c r="G34" s="2">
        <v>3.6694957563654498</v>
      </c>
      <c r="I34" s="7">
        <v>2.7512791039833422</v>
      </c>
      <c r="J34" s="2">
        <v>96.155766350474295</v>
      </c>
      <c r="K34" s="2">
        <v>0.4493260109835262</v>
      </c>
    </row>
    <row r="35" spans="1:11" x14ac:dyDescent="0.3">
      <c r="A35" s="7">
        <v>2.5132176000679389</v>
      </c>
      <c r="B35" s="2">
        <v>100.57413879181229</v>
      </c>
      <c r="C35" s="2">
        <v>3.6694957563654498</v>
      </c>
      <c r="E35" s="7">
        <v>2.5786392099680722</v>
      </c>
      <c r="F35" s="2">
        <v>102.14677983025462</v>
      </c>
      <c r="G35" s="2">
        <v>2.8457314028956588</v>
      </c>
      <c r="I35" s="7">
        <v>2.6263403673750423</v>
      </c>
      <c r="J35" s="2">
        <v>108.36245631552671</v>
      </c>
      <c r="K35" s="2">
        <v>2.4712930604093728</v>
      </c>
    </row>
    <row r="36" spans="1:11" x14ac:dyDescent="0.3">
      <c r="A36" s="7">
        <v>2.3371263410122576</v>
      </c>
      <c r="B36" s="2">
        <v>100.42436345481777</v>
      </c>
      <c r="C36" s="2">
        <v>8.0129805292061889</v>
      </c>
      <c r="E36" s="7">
        <v>2.4025479509123913</v>
      </c>
      <c r="F36" s="2">
        <v>96.380429355966058</v>
      </c>
      <c r="G36" s="2">
        <v>2.3215177234148854</v>
      </c>
      <c r="I36" s="7">
        <v>2.4502491083193609</v>
      </c>
      <c r="J36" s="2">
        <v>98.327508736894657</v>
      </c>
      <c r="K36" s="2">
        <v>3.3699450823764323</v>
      </c>
    </row>
    <row r="38" spans="1:11" x14ac:dyDescent="0.3">
      <c r="A38" s="23" t="s">
        <v>116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40" spans="1:11" x14ac:dyDescent="0.3">
      <c r="A40" s="29" t="s">
        <v>3</v>
      </c>
      <c r="B40" s="29"/>
      <c r="C40" s="29"/>
      <c r="E40" s="29" t="s">
        <v>2</v>
      </c>
      <c r="F40" s="29"/>
      <c r="G40" s="29"/>
      <c r="I40" s="29" t="s">
        <v>0</v>
      </c>
      <c r="J40" s="29"/>
      <c r="K40" s="29"/>
    </row>
    <row r="41" spans="1:11" x14ac:dyDescent="0.3">
      <c r="A41" t="s">
        <v>47</v>
      </c>
      <c r="B41" t="s">
        <v>101</v>
      </c>
      <c r="C41" s="22" t="s">
        <v>102</v>
      </c>
      <c r="E41" t="s">
        <v>47</v>
      </c>
      <c r="F41" t="s">
        <v>101</v>
      </c>
      <c r="G41" s="22" t="s">
        <v>102</v>
      </c>
      <c r="I41" t="s">
        <v>47</v>
      </c>
      <c r="J41" t="s">
        <v>101</v>
      </c>
      <c r="K41" s="22" t="s">
        <v>102</v>
      </c>
    </row>
    <row r="42" spans="1:11" x14ac:dyDescent="0.3">
      <c r="A42" s="7">
        <v>3.6431070774941166</v>
      </c>
      <c r="B42" s="2">
        <v>0</v>
      </c>
      <c r="C42" s="2">
        <v>0</v>
      </c>
      <c r="D42" s="7"/>
      <c r="E42" s="7">
        <v>3.5872056776065859</v>
      </c>
      <c r="F42" s="2">
        <v>0</v>
      </c>
      <c r="G42" s="2">
        <v>0</v>
      </c>
      <c r="H42" s="7"/>
      <c r="I42" s="7">
        <v>3.5691397254724593</v>
      </c>
      <c r="J42" s="2">
        <v>0</v>
      </c>
      <c r="K42" s="2">
        <v>0</v>
      </c>
    </row>
    <row r="43" spans="1:11" x14ac:dyDescent="0.3">
      <c r="A43" s="7">
        <v>3.4670158184384356</v>
      </c>
      <c r="B43" s="2">
        <v>0.48169556840077082</v>
      </c>
      <c r="C43" s="2">
        <v>0.48169556840077082</v>
      </c>
      <c r="D43" s="7"/>
      <c r="E43" s="7">
        <v>3.4111144185509046</v>
      </c>
      <c r="F43" s="2">
        <v>0.86705202312138741</v>
      </c>
      <c r="G43" s="2">
        <v>9.6339113680154576E-2</v>
      </c>
      <c r="H43" s="7"/>
      <c r="I43" s="7">
        <v>3.3930484664167784</v>
      </c>
      <c r="J43" s="2">
        <v>0.19267822736030829</v>
      </c>
      <c r="K43" s="2">
        <v>0.19267822736030829</v>
      </c>
    </row>
    <row r="44" spans="1:11" x14ac:dyDescent="0.3">
      <c r="A44" s="7">
        <v>3.3420770818301357</v>
      </c>
      <c r="B44" s="2">
        <v>0.67437379576107892</v>
      </c>
      <c r="C44" s="2">
        <v>0.67437379576107892</v>
      </c>
      <c r="D44" s="7"/>
      <c r="E44" s="7">
        <v>3.2861756819426047</v>
      </c>
      <c r="F44" s="2">
        <v>0.5780346820809249</v>
      </c>
      <c r="G44" s="2">
        <v>0.19267822736030829</v>
      </c>
      <c r="H44" s="7"/>
      <c r="I44" s="7">
        <v>3.2681097298084785</v>
      </c>
      <c r="J44" s="2">
        <v>0.86705202312138718</v>
      </c>
      <c r="K44" s="2">
        <v>0.48169556840077071</v>
      </c>
    </row>
    <row r="45" spans="1:11" x14ac:dyDescent="0.3">
      <c r="A45" s="7">
        <v>3.2628958357825106</v>
      </c>
      <c r="B45" s="2">
        <v>8.4778420038535653</v>
      </c>
      <c r="C45" s="2">
        <v>5.0096339113680139</v>
      </c>
      <c r="D45" s="7"/>
      <c r="E45" s="7">
        <v>3.20699443589498</v>
      </c>
      <c r="F45" s="2">
        <v>3.5645472061657033</v>
      </c>
      <c r="G45" s="2">
        <v>2.601156069364162</v>
      </c>
      <c r="H45" s="7"/>
      <c r="I45" s="7">
        <v>3.1889284837608534</v>
      </c>
      <c r="J45" s="2">
        <v>1.5414258188824663</v>
      </c>
      <c r="K45" s="2">
        <v>0.77071290944123316</v>
      </c>
    </row>
    <row r="46" spans="1:11" x14ac:dyDescent="0.3">
      <c r="A46" s="7">
        <v>3.1659858227744544</v>
      </c>
      <c r="B46" s="2">
        <v>4.4315992292870909</v>
      </c>
      <c r="C46" s="2">
        <v>2.3121387283236992</v>
      </c>
      <c r="D46" s="7"/>
      <c r="E46" s="7">
        <v>3.1100844228869233</v>
      </c>
      <c r="F46" s="2">
        <v>5.7803468208092497</v>
      </c>
      <c r="G46" s="2">
        <v>0.77071290944123205</v>
      </c>
      <c r="H46" s="7"/>
      <c r="I46" s="7">
        <v>3.0920184707527971</v>
      </c>
      <c r="J46" s="2">
        <v>3.0828516377649327</v>
      </c>
      <c r="K46" s="2">
        <v>0.38535645472061603</v>
      </c>
    </row>
    <row r="47" spans="1:11" x14ac:dyDescent="0.3">
      <c r="A47" s="7">
        <v>3.1659858227744544</v>
      </c>
      <c r="B47" s="2">
        <v>10.88631984585742</v>
      </c>
      <c r="C47" s="2">
        <v>1.252408477842007</v>
      </c>
      <c r="D47" s="7"/>
      <c r="E47" s="7">
        <v>3.1100844228869233</v>
      </c>
      <c r="F47" s="2">
        <v>11.271676300578036</v>
      </c>
      <c r="G47" s="2">
        <v>9.6339113680155464E-2</v>
      </c>
      <c r="H47" s="7"/>
      <c r="I47" s="7">
        <v>3.0920184707527971</v>
      </c>
      <c r="J47" s="2">
        <v>5.8766859344894025</v>
      </c>
      <c r="K47" s="2">
        <v>0.28901734104046195</v>
      </c>
    </row>
    <row r="48" spans="1:11" x14ac:dyDescent="0.3">
      <c r="A48" s="7">
        <v>2.989894563718773</v>
      </c>
      <c r="B48" s="2">
        <v>27.938342967244701</v>
      </c>
      <c r="C48" s="2">
        <v>1.1560693641618531</v>
      </c>
      <c r="D48" s="7"/>
      <c r="E48" s="7">
        <v>2.9339931638312424</v>
      </c>
      <c r="F48" s="2">
        <v>30.250481695568403</v>
      </c>
      <c r="G48" s="2">
        <v>0.57803468208092745</v>
      </c>
      <c r="H48" s="7"/>
      <c r="I48" s="7">
        <v>2.9159272116971158</v>
      </c>
      <c r="J48" s="2">
        <v>50.289017341040477</v>
      </c>
      <c r="K48" s="2">
        <v>32.75529865125241</v>
      </c>
    </row>
    <row r="49" spans="1:11" x14ac:dyDescent="0.3">
      <c r="A49" s="7">
        <v>2.6888645680547918</v>
      </c>
      <c r="B49" s="2">
        <v>85.260115606936409</v>
      </c>
      <c r="C49" s="2">
        <v>11.078998073217795</v>
      </c>
      <c r="D49" s="7"/>
      <c r="E49" s="7">
        <v>2.6329631681672612</v>
      </c>
      <c r="F49" s="2">
        <v>78.901734104046255</v>
      </c>
      <c r="G49" s="2">
        <v>1.2524084778420104</v>
      </c>
      <c r="H49" s="7"/>
      <c r="I49" s="7">
        <v>2.6148972160331345</v>
      </c>
      <c r="J49" s="2">
        <v>70.712909441233151</v>
      </c>
      <c r="K49" s="2">
        <v>2.8901734104046284</v>
      </c>
    </row>
    <row r="50" spans="1:11" x14ac:dyDescent="0.3">
      <c r="A50" s="7">
        <v>2.3878345723908105</v>
      </c>
      <c r="B50" s="2">
        <v>111.07899807321773</v>
      </c>
      <c r="C50" s="2">
        <v>0.8670520231213743</v>
      </c>
      <c r="D50" s="7"/>
      <c r="E50" s="7">
        <v>2.3319331725032799</v>
      </c>
      <c r="F50" s="2">
        <v>114.64354527938345</v>
      </c>
      <c r="G50" s="2">
        <v>0.19267822736031803</v>
      </c>
      <c r="H50" s="7"/>
      <c r="I50" s="7">
        <v>2.3138672203691533</v>
      </c>
      <c r="J50" s="2">
        <v>101.25240847784201</v>
      </c>
      <c r="K50" s="2">
        <v>2.0231213872832328</v>
      </c>
    </row>
    <row r="51" spans="1:11" x14ac:dyDescent="0.3">
      <c r="A51" s="7">
        <v>2.1360225993970112</v>
      </c>
      <c r="B51" s="2">
        <v>106.3583815028902</v>
      </c>
      <c r="C51" s="2">
        <v>2.5048169556840065</v>
      </c>
      <c r="D51" s="7"/>
      <c r="E51" s="7">
        <v>2.0801211995094806</v>
      </c>
      <c r="F51" s="2">
        <v>110.01926782273605</v>
      </c>
      <c r="G51" s="2">
        <v>2.6974951830443175</v>
      </c>
      <c r="H51" s="7"/>
      <c r="I51" s="7">
        <v>2.062055247375354</v>
      </c>
      <c r="J51" s="2">
        <v>101.15606936416187</v>
      </c>
      <c r="K51" s="2">
        <v>7.7071290944123376</v>
      </c>
    </row>
    <row r="52" spans="1:11" x14ac:dyDescent="0.3">
      <c r="B52" s="2"/>
      <c r="C52" s="2"/>
    </row>
    <row r="53" spans="1:11" x14ac:dyDescent="0.3">
      <c r="A53" s="23" t="s">
        <v>117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5" spans="1:11" x14ac:dyDescent="0.3">
      <c r="A55" s="29" t="s">
        <v>3</v>
      </c>
      <c r="B55" s="29"/>
      <c r="C55" s="29"/>
      <c r="E55" s="29" t="s">
        <v>2</v>
      </c>
      <c r="F55" s="29"/>
      <c r="G55" s="29"/>
      <c r="I55" s="29" t="s">
        <v>0</v>
      </c>
      <c r="J55" s="29"/>
      <c r="K55" s="29"/>
    </row>
    <row r="56" spans="1:11" x14ac:dyDescent="0.3">
      <c r="A56" t="s">
        <v>47</v>
      </c>
      <c r="B56" t="s">
        <v>101</v>
      </c>
      <c r="C56" s="22" t="s">
        <v>102</v>
      </c>
      <c r="E56" t="s">
        <v>47</v>
      </c>
      <c r="F56" t="s">
        <v>101</v>
      </c>
      <c r="G56" s="22" t="s">
        <v>102</v>
      </c>
      <c r="I56" t="s">
        <v>47</v>
      </c>
      <c r="J56" t="s">
        <v>101</v>
      </c>
      <c r="K56" s="22" t="s">
        <v>102</v>
      </c>
    </row>
    <row r="57" spans="1:11" x14ac:dyDescent="0.3">
      <c r="A57" s="7">
        <v>3.2327865317923319</v>
      </c>
      <c r="B57" s="2">
        <v>0.69731404958677667</v>
      </c>
      <c r="C57" s="2">
        <v>0.38739669421487588</v>
      </c>
      <c r="D57" s="7"/>
      <c r="E57" s="7">
        <v>3.2327865317923319</v>
      </c>
      <c r="F57" s="2">
        <v>1.0847107438016528</v>
      </c>
      <c r="G57" s="2">
        <v>0.77479338842975187</v>
      </c>
      <c r="H57" s="7"/>
      <c r="I57" s="7">
        <v>3.2327865317923319</v>
      </c>
      <c r="J57" s="2">
        <v>0.85227272727272707</v>
      </c>
      <c r="K57" s="2">
        <v>0.23243801652892543</v>
      </c>
    </row>
    <row r="58" spans="1:11" x14ac:dyDescent="0.3">
      <c r="A58" s="7">
        <v>2.9427519204298136</v>
      </c>
      <c r="B58" s="2">
        <v>18.285123966942145</v>
      </c>
      <c r="C58" s="2">
        <v>0.92975206611570549</v>
      </c>
      <c r="D58" s="7"/>
      <c r="E58" s="7">
        <v>2.9427519204298136</v>
      </c>
      <c r="F58" s="2">
        <v>28.899793388429742</v>
      </c>
      <c r="G58" s="2">
        <v>1.9369834710743792</v>
      </c>
      <c r="H58" s="7"/>
      <c r="I58" s="7">
        <v>2.9427519204298136</v>
      </c>
      <c r="J58" s="2">
        <v>23.476239669421485</v>
      </c>
      <c r="K58" s="2">
        <v>3.7964876033058039</v>
      </c>
    </row>
    <row r="59" spans="1:11" x14ac:dyDescent="0.3">
      <c r="A59" s="7">
        <v>2.3406919291018515</v>
      </c>
      <c r="B59" s="2">
        <v>101.42045454545453</v>
      </c>
      <c r="C59" s="2">
        <v>1.472107438016522</v>
      </c>
      <c r="D59" s="7"/>
      <c r="E59" s="7">
        <v>2.3406919291018515</v>
      </c>
      <c r="F59" s="2">
        <v>96.074380165289242</v>
      </c>
      <c r="G59" s="2">
        <v>0.15495867768595417</v>
      </c>
      <c r="H59" s="7"/>
      <c r="I59" s="7">
        <v>2.3406919291018515</v>
      </c>
      <c r="J59" s="2">
        <v>99.096074380165277</v>
      </c>
      <c r="K59" s="2">
        <v>2.8667355371900811</v>
      </c>
    </row>
    <row r="61" spans="1:11" x14ac:dyDescent="0.3">
      <c r="A61" s="23" t="s">
        <v>118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3" spans="1:11" x14ac:dyDescent="0.3">
      <c r="A63" s="29" t="s">
        <v>3</v>
      </c>
      <c r="B63" s="29"/>
      <c r="C63" s="29"/>
      <c r="E63" s="29" t="s">
        <v>2</v>
      </c>
      <c r="F63" s="29"/>
      <c r="G63" s="29"/>
      <c r="I63" s="29" t="s">
        <v>0</v>
      </c>
      <c r="J63" s="29"/>
      <c r="K63" s="29"/>
    </row>
    <row r="64" spans="1:11" x14ac:dyDescent="0.3">
      <c r="A64" t="s">
        <v>47</v>
      </c>
      <c r="B64" t="s">
        <v>101</v>
      </c>
      <c r="C64" s="22" t="s">
        <v>102</v>
      </c>
      <c r="E64" t="s">
        <v>47</v>
      </c>
      <c r="F64" t="s">
        <v>101</v>
      </c>
      <c r="G64" s="22" t="s">
        <v>102</v>
      </c>
      <c r="I64" t="s">
        <v>47</v>
      </c>
      <c r="J64" t="s">
        <v>101</v>
      </c>
      <c r="K64" s="22" t="s">
        <v>102</v>
      </c>
    </row>
    <row r="65" spans="1:11" x14ac:dyDescent="0.3">
      <c r="A65" s="7">
        <v>3.7764650902169516</v>
      </c>
      <c r="B65" s="2">
        <v>0</v>
      </c>
      <c r="C65" s="2">
        <v>0</v>
      </c>
      <c r="D65" s="7"/>
      <c r="E65" s="7">
        <v>3.7707599903510056</v>
      </c>
      <c r="F65" s="2">
        <v>0</v>
      </c>
      <c r="G65" s="2">
        <v>0</v>
      </c>
      <c r="H65" s="7"/>
      <c r="I65" s="7">
        <v>3.8085485512404054</v>
      </c>
      <c r="J65" s="2">
        <v>0</v>
      </c>
      <c r="K65" s="2">
        <v>0</v>
      </c>
    </row>
    <row r="66" spans="1:11" x14ac:dyDescent="0.3">
      <c r="A66" s="7">
        <v>3.4864304788544338</v>
      </c>
      <c r="B66" s="2">
        <v>2.8505392912172574</v>
      </c>
      <c r="C66" s="2">
        <v>1.1556240369799691</v>
      </c>
      <c r="D66" s="7"/>
      <c r="E66" s="7">
        <v>3.4807253789884878</v>
      </c>
      <c r="F66" s="2">
        <v>1.8489984591679507</v>
      </c>
      <c r="G66" s="2">
        <v>0</v>
      </c>
      <c r="H66" s="7"/>
      <c r="I66" s="7">
        <v>3.5185139398778875</v>
      </c>
      <c r="J66" s="2">
        <v>1.6949152542372881</v>
      </c>
      <c r="K66" s="2">
        <v>0.46224961479198817</v>
      </c>
    </row>
    <row r="67" spans="1:11" x14ac:dyDescent="0.3">
      <c r="A67" s="7">
        <v>2.8843704875264713</v>
      </c>
      <c r="B67" s="2">
        <v>14.021571648690294</v>
      </c>
      <c r="C67" s="2">
        <v>0.15408320493066174</v>
      </c>
      <c r="D67" s="7"/>
      <c r="E67" s="7">
        <v>2.8786653876605253</v>
      </c>
      <c r="F67" s="2">
        <v>7.0107858243451453</v>
      </c>
      <c r="G67" s="2">
        <v>0.23112480739599484</v>
      </c>
      <c r="H67" s="7"/>
      <c r="I67" s="7">
        <v>2.916453948549925</v>
      </c>
      <c r="J67" s="2">
        <v>11.402157164869028</v>
      </c>
      <c r="K67" s="2">
        <v>1.6949152542372981</v>
      </c>
    </row>
    <row r="68" spans="1:11" x14ac:dyDescent="0.3">
      <c r="A68" s="7">
        <v>2.3614917422461339</v>
      </c>
      <c r="B68" s="2">
        <v>78.58243451463791</v>
      </c>
      <c r="C68" s="2">
        <v>4.006163328197232</v>
      </c>
      <c r="D68" s="7"/>
      <c r="E68" s="7">
        <v>2.3557866423801879</v>
      </c>
      <c r="F68" s="1">
        <v>74.499229583975335</v>
      </c>
      <c r="G68" s="1">
        <v>3.4668721109398959</v>
      </c>
      <c r="H68" s="7"/>
      <c r="I68" s="7">
        <v>2.3935752032695876</v>
      </c>
      <c r="J68" s="2">
        <v>70.10785824345146</v>
      </c>
      <c r="K68" s="2">
        <v>3.8520801232665676</v>
      </c>
    </row>
    <row r="70" spans="1:11" x14ac:dyDescent="0.3">
      <c r="A70" s="23" t="s">
        <v>119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2" spans="1:11" x14ac:dyDescent="0.3">
      <c r="A72" s="29" t="s">
        <v>3</v>
      </c>
      <c r="B72" s="29"/>
      <c r="C72" s="29"/>
      <c r="E72" s="29" t="s">
        <v>2</v>
      </c>
      <c r="F72" s="29"/>
      <c r="G72" s="29"/>
      <c r="I72" s="29" t="s">
        <v>0</v>
      </c>
      <c r="J72" s="29"/>
      <c r="K72" s="29"/>
    </row>
    <row r="73" spans="1:11" x14ac:dyDescent="0.3">
      <c r="A73" t="s">
        <v>47</v>
      </c>
      <c r="B73" t="s">
        <v>101</v>
      </c>
      <c r="C73" s="22" t="s">
        <v>102</v>
      </c>
      <c r="E73" t="s">
        <v>47</v>
      </c>
      <c r="F73" t="s">
        <v>101</v>
      </c>
      <c r="G73" s="22" t="s">
        <v>102</v>
      </c>
      <c r="I73" t="s">
        <v>47</v>
      </c>
      <c r="J73" t="s">
        <v>101</v>
      </c>
      <c r="K73" s="22" t="s">
        <v>102</v>
      </c>
    </row>
    <row r="74" spans="1:11" x14ac:dyDescent="0.3">
      <c r="A74" s="7">
        <v>3.1630644234235623</v>
      </c>
      <c r="B74" s="2">
        <v>92.28922091782286</v>
      </c>
      <c r="C74" s="2">
        <v>0.88046958377801587</v>
      </c>
      <c r="D74" s="7"/>
      <c r="E74" s="7">
        <v>3.2303020028085299</v>
      </c>
      <c r="F74" s="2">
        <v>88.207043756670231</v>
      </c>
      <c r="G74" s="2">
        <v>1.4407684098185669</v>
      </c>
      <c r="H74" s="7"/>
      <c r="I74" s="7">
        <v>3.2745619247063105</v>
      </c>
      <c r="J74" s="2">
        <v>86.766275346851671</v>
      </c>
      <c r="K74" s="2">
        <v>3.2017075773745987</v>
      </c>
    </row>
    <row r="75" spans="1:11" x14ac:dyDescent="0.3">
      <c r="A75" s="7">
        <v>2.873029812061044</v>
      </c>
      <c r="B75" s="2">
        <v>95.090715048025629</v>
      </c>
      <c r="C75" s="2">
        <v>2.5613660618996903</v>
      </c>
      <c r="D75" s="7"/>
      <c r="E75" s="7">
        <v>2.940267391446012</v>
      </c>
      <c r="F75" s="2">
        <v>95.090715048025629</v>
      </c>
      <c r="G75" s="2">
        <v>1.9210245464247606</v>
      </c>
      <c r="H75" s="7"/>
      <c r="I75" s="7">
        <v>2.9845273133437926</v>
      </c>
      <c r="J75" s="2">
        <v>98.132337246531506</v>
      </c>
      <c r="K75" s="2">
        <v>5.9231590181430036</v>
      </c>
    </row>
    <row r="76" spans="1:11" x14ac:dyDescent="0.3">
      <c r="A76" s="7">
        <v>2.270969820733082</v>
      </c>
      <c r="B76" s="2">
        <v>97.491995731056591</v>
      </c>
      <c r="C76" s="2">
        <v>1.6008537886872958</v>
      </c>
      <c r="D76" s="7"/>
      <c r="E76" s="7">
        <v>2.3382074001180495</v>
      </c>
      <c r="F76" s="2">
        <v>96.531483457844189</v>
      </c>
      <c r="G76" s="2">
        <v>0.4802561366061795</v>
      </c>
      <c r="H76" s="7"/>
      <c r="I76" s="7">
        <v>2.3824673220158301</v>
      </c>
      <c r="J76" s="2">
        <v>95.010672358591279</v>
      </c>
      <c r="K76" s="2">
        <v>2.6414087513340405</v>
      </c>
    </row>
    <row r="78" spans="1:11" x14ac:dyDescent="0.3">
      <c r="A78" s="23" t="s">
        <v>120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</row>
    <row r="80" spans="1:11" x14ac:dyDescent="0.3">
      <c r="A80" s="29" t="s">
        <v>3</v>
      </c>
      <c r="B80" s="29"/>
      <c r="C80" s="29"/>
      <c r="E80" s="29" t="s">
        <v>2</v>
      </c>
      <c r="F80" s="29"/>
      <c r="G80" s="29"/>
      <c r="I80" s="29" t="s">
        <v>0</v>
      </c>
      <c r="J80" s="29"/>
      <c r="K80" s="29"/>
    </row>
    <row r="81" spans="1:11" x14ac:dyDescent="0.3">
      <c r="A81" t="s">
        <v>47</v>
      </c>
      <c r="B81" t="s">
        <v>101</v>
      </c>
      <c r="C81" s="22" t="s">
        <v>102</v>
      </c>
      <c r="E81" t="s">
        <v>47</v>
      </c>
      <c r="F81" t="s">
        <v>101</v>
      </c>
      <c r="G81" s="22" t="s">
        <v>102</v>
      </c>
      <c r="I81" t="s">
        <v>47</v>
      </c>
      <c r="J81" t="s">
        <v>101</v>
      </c>
      <c r="K81" s="22" t="s">
        <v>102</v>
      </c>
    </row>
    <row r="82" spans="1:11" x14ac:dyDescent="0.3">
      <c r="A82" s="7">
        <v>3.7116385382323491</v>
      </c>
      <c r="B82" s="2">
        <v>74.936974789915979</v>
      </c>
      <c r="C82" s="2">
        <v>1.8277310924369701</v>
      </c>
      <c r="E82" s="7">
        <v>3.7395130105498828</v>
      </c>
      <c r="F82" s="2">
        <v>70.14705882352942</v>
      </c>
      <c r="G82" s="2">
        <v>4.4747899159663831</v>
      </c>
      <c r="I82" s="7">
        <v>3.7066751187007991</v>
      </c>
      <c r="J82" s="2">
        <v>73.991596638655466</v>
      </c>
      <c r="K82" s="2">
        <v>2.8991596638655537</v>
      </c>
    </row>
    <row r="83" spans="1:11" x14ac:dyDescent="0.3">
      <c r="A83" s="7">
        <v>3.4216039268698313</v>
      </c>
      <c r="B83" s="2">
        <v>91.638655462184886</v>
      </c>
      <c r="C83" s="2">
        <v>6.1764705882352899</v>
      </c>
      <c r="E83" s="7">
        <v>3.449478399187365</v>
      </c>
      <c r="F83" s="2">
        <v>90.18907563025212</v>
      </c>
      <c r="G83" s="2">
        <v>0.94537815126050617</v>
      </c>
      <c r="I83" s="7">
        <v>3.4166405073382808</v>
      </c>
      <c r="J83" s="2">
        <v>93.340336134453793</v>
      </c>
      <c r="K83" s="2">
        <v>1.4495798319327731</v>
      </c>
    </row>
    <row r="84" spans="1:11" x14ac:dyDescent="0.3">
      <c r="A84" s="7">
        <v>2.8195439355418688</v>
      </c>
      <c r="B84" s="2">
        <v>95.168067226890756</v>
      </c>
      <c r="C84" s="2">
        <v>0.8823529411764639</v>
      </c>
      <c r="E84" s="7">
        <v>2.8474184078594025</v>
      </c>
      <c r="F84" s="2">
        <v>98.697478991596654</v>
      </c>
      <c r="G84" s="2">
        <v>7.6890756302520913</v>
      </c>
      <c r="I84" s="7">
        <v>2.8145805160103188</v>
      </c>
      <c r="J84" s="2">
        <v>97.5</v>
      </c>
      <c r="K84" s="2">
        <v>1.5756302521008365</v>
      </c>
    </row>
    <row r="85" spans="1:11" x14ac:dyDescent="0.3">
      <c r="A85" s="7">
        <v>2.2966651902615309</v>
      </c>
      <c r="B85" s="2">
        <v>95.924369747899178</v>
      </c>
      <c r="C85" s="2">
        <v>3.2773109243697576</v>
      </c>
      <c r="E85" s="7">
        <v>2.3245396625790651</v>
      </c>
      <c r="F85" s="2">
        <v>96.239495798319339</v>
      </c>
      <c r="G85" s="2">
        <v>4.0966386554621721</v>
      </c>
      <c r="I85" s="7">
        <v>2.2917017707299809</v>
      </c>
      <c r="J85" s="2">
        <v>98.067226890756331</v>
      </c>
      <c r="K85" s="2">
        <v>5.9243697478991564</v>
      </c>
    </row>
    <row r="87" spans="1:11" x14ac:dyDescent="0.3">
      <c r="A87" s="23" t="s">
        <v>121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</row>
    <row r="89" spans="1:11" x14ac:dyDescent="0.3">
      <c r="A89" s="29" t="s">
        <v>3</v>
      </c>
      <c r="B89" s="29"/>
      <c r="C89" s="29"/>
      <c r="E89" s="29" t="s">
        <v>2</v>
      </c>
      <c r="F89" s="29"/>
      <c r="G89" s="29"/>
      <c r="I89" s="29" t="s">
        <v>0</v>
      </c>
      <c r="J89" s="29"/>
      <c r="K89" s="29"/>
    </row>
    <row r="90" spans="1:11" x14ac:dyDescent="0.3">
      <c r="A90" t="s">
        <v>47</v>
      </c>
      <c r="B90" t="s">
        <v>101</v>
      </c>
      <c r="C90" s="22" t="s">
        <v>102</v>
      </c>
      <c r="E90" t="s">
        <v>47</v>
      </c>
      <c r="F90" t="s">
        <v>101</v>
      </c>
      <c r="G90" s="22" t="s">
        <v>102</v>
      </c>
      <c r="I90" t="s">
        <v>47</v>
      </c>
      <c r="J90" t="s">
        <v>101</v>
      </c>
      <c r="K90" s="22" t="s">
        <v>102</v>
      </c>
    </row>
    <row r="91" spans="1:11" x14ac:dyDescent="0.3">
      <c r="A91" s="7">
        <v>3.2650066056605871</v>
      </c>
      <c r="B91" s="2">
        <v>105.94744121715077</v>
      </c>
      <c r="C91" s="2">
        <v>5.2558782849239378</v>
      </c>
      <c r="D91" s="7"/>
      <c r="E91" s="7">
        <v>3.2509808070963495</v>
      </c>
      <c r="F91" s="2">
        <v>102.21300138312586</v>
      </c>
      <c r="G91" s="2">
        <v>2.0746887966804977</v>
      </c>
      <c r="H91" s="7"/>
      <c r="I91" s="7">
        <v>3.269582986066613</v>
      </c>
      <c r="J91" s="2">
        <v>104.70262793914247</v>
      </c>
      <c r="K91" s="2">
        <v>5.8091286307053807</v>
      </c>
    </row>
    <row r="92" spans="1:11" x14ac:dyDescent="0.3">
      <c r="A92" s="7">
        <v>2.9749719942980688</v>
      </c>
      <c r="B92" s="2">
        <v>100.89903181189487</v>
      </c>
      <c r="C92" s="2">
        <v>5.4633471645919727</v>
      </c>
      <c r="D92" s="7"/>
      <c r="E92" s="7">
        <v>2.9609461957338312</v>
      </c>
      <c r="F92" s="2">
        <v>94.744121715076062</v>
      </c>
      <c r="G92" s="2">
        <v>0.55325034578147125</v>
      </c>
      <c r="H92" s="7"/>
      <c r="I92" s="7">
        <v>2.9795483747040952</v>
      </c>
      <c r="J92" s="2">
        <v>106.2240663900415</v>
      </c>
      <c r="K92" s="2">
        <v>0.41493775933609811</v>
      </c>
    </row>
    <row r="93" spans="1:11" x14ac:dyDescent="0.3">
      <c r="A93" s="7">
        <v>2.3729120029701067</v>
      </c>
      <c r="B93" s="2">
        <v>94.329183955739978</v>
      </c>
      <c r="C93" s="2">
        <v>4.4260027662517345</v>
      </c>
      <c r="D93" s="7"/>
      <c r="E93" s="7">
        <v>2.3588862044058692</v>
      </c>
      <c r="F93" s="2">
        <v>100.62240663900415</v>
      </c>
      <c r="G93" s="2">
        <v>1.3139695712309845</v>
      </c>
      <c r="H93" s="7"/>
      <c r="I93" s="7">
        <v>2.3774883833761327</v>
      </c>
      <c r="J93" s="2">
        <v>97.925311203319524</v>
      </c>
      <c r="K93" s="2">
        <v>3.5961272475795241</v>
      </c>
    </row>
    <row r="95" spans="1:11" x14ac:dyDescent="0.3">
      <c r="A95" s="23" t="s">
        <v>122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</row>
    <row r="97" spans="1:11" x14ac:dyDescent="0.3">
      <c r="A97" s="29" t="s">
        <v>3</v>
      </c>
      <c r="B97" s="29"/>
      <c r="C97" s="29"/>
      <c r="E97" s="29" t="s">
        <v>2</v>
      </c>
      <c r="F97" s="29"/>
      <c r="G97" s="29"/>
      <c r="I97" s="29" t="s">
        <v>0</v>
      </c>
      <c r="J97" s="29"/>
      <c r="K97" s="29"/>
    </row>
    <row r="98" spans="1:11" x14ac:dyDescent="0.3">
      <c r="A98" t="s">
        <v>47</v>
      </c>
      <c r="B98" t="s">
        <v>101</v>
      </c>
      <c r="C98" s="22" t="s">
        <v>102</v>
      </c>
      <c r="E98" t="s">
        <v>47</v>
      </c>
      <c r="F98" t="s">
        <v>101</v>
      </c>
      <c r="G98" s="22" t="s">
        <v>102</v>
      </c>
      <c r="I98" t="s">
        <v>47</v>
      </c>
      <c r="J98" t="s">
        <v>101</v>
      </c>
      <c r="K98" s="22" t="s">
        <v>102</v>
      </c>
    </row>
    <row r="99" spans="1:11" x14ac:dyDescent="0.3">
      <c r="A99" s="7">
        <v>3.7613263224214566</v>
      </c>
      <c r="B99" s="2">
        <v>88.754325259515582</v>
      </c>
      <c r="C99" s="2">
        <v>3.2871972318339147</v>
      </c>
      <c r="E99" s="7">
        <v>3.8131304496150857</v>
      </c>
      <c r="F99" s="2">
        <v>86.937716262975783</v>
      </c>
      <c r="G99" s="2">
        <v>8.9100346020761858</v>
      </c>
      <c r="I99" s="7">
        <v>3.8552919547827318</v>
      </c>
      <c r="J99" s="2">
        <v>82.871972318339118</v>
      </c>
      <c r="K99" s="2">
        <v>2.2491349480968879</v>
      </c>
    </row>
    <row r="100" spans="1:11" x14ac:dyDescent="0.3">
      <c r="A100" s="7">
        <v>3.4712917110589387</v>
      </c>
      <c r="B100" s="2">
        <v>102.16262975778547</v>
      </c>
      <c r="C100" s="2">
        <v>2.5086505190311357</v>
      </c>
      <c r="E100" s="7">
        <v>3.5230958382525679</v>
      </c>
      <c r="F100" s="2">
        <v>93.079584775086502</v>
      </c>
      <c r="G100" s="2">
        <v>0.6920415224913512</v>
      </c>
      <c r="I100" s="7">
        <v>3.5652573434202135</v>
      </c>
      <c r="J100" s="2">
        <v>95.674740484429066</v>
      </c>
      <c r="K100" s="2">
        <v>1.3840830449827024</v>
      </c>
    </row>
    <row r="101" spans="1:11" x14ac:dyDescent="0.3">
      <c r="A101" s="7">
        <v>2.8692317197309762</v>
      </c>
      <c r="B101" s="2">
        <v>98.615916955017298</v>
      </c>
      <c r="C101" s="2">
        <v>3.8062283737024245</v>
      </c>
      <c r="E101" s="7">
        <v>2.9210358469246054</v>
      </c>
      <c r="F101" s="2">
        <v>96.280276816609017</v>
      </c>
      <c r="G101" s="2">
        <v>4.2387543252595137</v>
      </c>
      <c r="I101" s="7">
        <v>2.9631973520922514</v>
      </c>
      <c r="J101" s="2">
        <v>101.90311418685123</v>
      </c>
      <c r="K101" s="2">
        <v>4.3252595155709344</v>
      </c>
    </row>
    <row r="102" spans="1:11" x14ac:dyDescent="0.3">
      <c r="A102" s="7">
        <v>2.3463529744506388</v>
      </c>
      <c r="B102" s="2">
        <v>103.97923875432525</v>
      </c>
      <c r="C102" s="2">
        <v>8.4775086505190416</v>
      </c>
      <c r="E102" s="7">
        <v>2.398157101644268</v>
      </c>
      <c r="F102" s="2">
        <v>99.913494809688586</v>
      </c>
      <c r="G102" s="2">
        <v>2.162629757785453</v>
      </c>
      <c r="I102" s="7">
        <v>2.4403186068119136</v>
      </c>
      <c r="J102" s="2">
        <v>100.77854671280278</v>
      </c>
      <c r="K102" s="2">
        <v>1.6435986159169644</v>
      </c>
    </row>
  </sheetData>
  <mergeCells count="40">
    <mergeCell ref="A8:K8"/>
    <mergeCell ref="A10:C10"/>
    <mergeCell ref="E10:G10"/>
    <mergeCell ref="I10:K10"/>
    <mergeCell ref="A16:K16"/>
    <mergeCell ref="A18:C18"/>
    <mergeCell ref="E18:G18"/>
    <mergeCell ref="I18:K18"/>
    <mergeCell ref="A25:K25"/>
    <mergeCell ref="A27:C27"/>
    <mergeCell ref="E27:G27"/>
    <mergeCell ref="I27:K27"/>
    <mergeCell ref="A38:K38"/>
    <mergeCell ref="A40:C40"/>
    <mergeCell ref="E40:G40"/>
    <mergeCell ref="I40:K40"/>
    <mergeCell ref="A53:K53"/>
    <mergeCell ref="A55:C55"/>
    <mergeCell ref="E55:G55"/>
    <mergeCell ref="I55:K55"/>
    <mergeCell ref="A61:K61"/>
    <mergeCell ref="A63:C63"/>
    <mergeCell ref="E63:G63"/>
    <mergeCell ref="I63:K63"/>
    <mergeCell ref="A70:K70"/>
    <mergeCell ref="A72:C72"/>
    <mergeCell ref="E72:G72"/>
    <mergeCell ref="I72:K72"/>
    <mergeCell ref="A78:K78"/>
    <mergeCell ref="A80:C80"/>
    <mergeCell ref="E80:G80"/>
    <mergeCell ref="I80:K80"/>
    <mergeCell ref="A87:K87"/>
    <mergeCell ref="A89:C89"/>
    <mergeCell ref="E89:G89"/>
    <mergeCell ref="I89:K89"/>
    <mergeCell ref="A95:K95"/>
    <mergeCell ref="A97:C97"/>
    <mergeCell ref="E97:G97"/>
    <mergeCell ref="I97:K9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Introduction</vt:lpstr>
      <vt:lpstr>Growth</vt:lpstr>
      <vt:lpstr>Cell Size</vt:lpstr>
      <vt:lpstr>YTX</vt:lpstr>
      <vt:lpstr>YTX roh data</vt:lpstr>
      <vt:lpstr>bioassay PR3</vt:lpstr>
      <vt:lpstr>bioassay strains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Sala</dc:creator>
  <cp:lastModifiedBy>adriemel</cp:lastModifiedBy>
  <dcterms:created xsi:type="dcterms:W3CDTF">2015-08-19T10:46:20Z</dcterms:created>
  <dcterms:modified xsi:type="dcterms:W3CDTF">2016-03-04T12:07:02Z</dcterms:modified>
</cp:coreProperties>
</file>