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21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1" firstSheet="0" showHorizontalScroll="true" showSheetTabs="true" showVerticalScroll="true" tabRatio="600" windowHeight="8192" windowWidth="16384" xWindow="0" yWindow="0"/>
  </bookViews>
  <sheets>
    <sheet name="convers.+compens." sheetId="1" state="visible" r:id="rId2"/>
    <sheet name="Recalculate Fibox values" sheetId="2" state="visible" r:id="rId3"/>
    <sheet name="Tabelle3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<sst xmlns="http://schemas.openxmlformats.org/spreadsheetml/2006/main" count="186" uniqueCount="159">
  <si>
    <t>file name: PSt1_Eq4_Sal</t>
  </si>
  <si>
    <t>author: Dr. Christian Huber</t>
  </si>
  <si>
    <t>programm for temperature compensated oxygen calculation of membrane PSt1</t>
  </si>
  <si>
    <t>Fit of the calibration curve is optimized between 0 and 250 % air-saturation (0 and 388 Torr)</t>
  </si>
  <si>
    <t>enter your values here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</si>
  <si>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0,T0</t>
    </r>
  </si>
  <si>
    <t>phase angle of cal 0 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</si>
  <si>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100,T100</t>
    </r>
  </si>
  <si>
    <t>phase angle of cal 100 (water-vapor saturated air)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</si>
  <si>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m,Tm</t>
    </r>
  </si>
  <si>
    <t>measured phase angle</t>
  </si>
  <si>
    <r>
      <t xml:space="preserve">input of T</t>
    </r>
    <r>
      <rPr>
        <rFont val="Arial"/>
        <family val="2"/>
        <sz val="10"/>
        <vertAlign val="subscript"/>
      </rPr>
      <t xml:space="preserve">0</t>
    </r>
  </si>
  <si>
    <t>temperature of cal 0 </t>
  </si>
  <si>
    <r>
      <t xml:space="preserve">input of  T</t>
    </r>
    <r>
      <rPr>
        <rFont val="Arial"/>
        <family val="2"/>
        <sz val="10"/>
        <vertAlign val="subscript"/>
      </rPr>
      <t xml:space="preserve">100</t>
    </r>
  </si>
  <si>
    <t>temperatur of cal100</t>
  </si>
  <si>
    <r>
      <t xml:space="preserve">input of T</t>
    </r>
    <r>
      <rPr>
        <rFont val="Arial"/>
        <family val="2"/>
        <sz val="10"/>
        <vertAlign val="subscript"/>
      </rPr>
      <t xml:space="preserve">m</t>
    </r>
  </si>
  <si>
    <t>temperature at measurement</t>
  </si>
  <si>
    <r>
      <t xml:space="preserve">air pressure p</t>
    </r>
    <r>
      <rPr>
        <rFont val="Arial"/>
        <family val="2"/>
        <sz val="10"/>
        <vertAlign val="subscript"/>
      </rPr>
      <t xml:space="preserve">atm</t>
    </r>
  </si>
  <si>
    <t>air pressure</t>
  </si>
  <si>
    <t>Salinity</t>
  </si>
  <si>
    <t>Results of calculation + compensation</t>
  </si>
  <si>
    <t>[%] air saturation</t>
  </si>
  <si>
    <t>%</t>
  </si>
  <si>
    <r>
      <t xml:space="preserve">[%] O</t>
    </r>
    <r>
      <rPr>
        <rFont val="Arial"/>
        <family val="2"/>
        <b val="true"/>
        <sz val="14"/>
        <vertAlign val="subscript"/>
      </rPr>
      <t xml:space="preserve">2</t>
    </r>
  </si>
  <si>
    <r>
      <t xml:space="preserve">pO</t>
    </r>
    <r>
      <rPr>
        <rFont val="Arial"/>
        <family val="2"/>
        <b val="true"/>
        <sz val="14"/>
        <vertAlign val="subscript"/>
      </rPr>
      <t xml:space="preserve">2 </t>
    </r>
    <r>
      <rPr>
        <rFont val="Arial"/>
        <family val="2"/>
        <b val="true"/>
        <sz val="14"/>
      </rPr>
      <t xml:space="preserve">[hPa]</t>
    </r>
  </si>
  <si>
    <t>hPa</t>
  </si>
  <si>
    <r>
      <t xml:space="preserve">pO</t>
    </r>
    <r>
      <rPr>
        <rFont val="Arial"/>
        <family val="2"/>
        <b val="true"/>
        <sz val="14"/>
        <vertAlign val="subscript"/>
      </rPr>
      <t xml:space="preserve">2 </t>
    </r>
    <r>
      <rPr>
        <rFont val="Arial"/>
        <family val="2"/>
        <b val="true"/>
        <sz val="14"/>
      </rPr>
      <t xml:space="preserve">[Torr]</t>
    </r>
  </si>
  <si>
    <t>Torr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</si>
  <si>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[mg/L]</t>
    </r>
  </si>
  <si>
    <t>mg/L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</si>
  <si>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[ppm]</t>
    </r>
  </si>
  <si>
    <t>ppm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</si>
  <si>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[µmol/L]</t>
    </r>
  </si>
  <si>
    <t>µmol/L</t>
  </si>
  <si>
    <t>Internal calculated parameter (DO NOT CHANGE !!)</t>
  </si>
  <si>
    <t>f1</t>
  </si>
  <si>
    <r>
      <t xml:space="preserve">DF</t>
    </r>
    <r>
      <rPr>
        <rFont val="Arial"/>
        <family val="2"/>
        <b val="true"/>
        <sz val="10"/>
      </rPr>
      <t xml:space="preserve">/K</t>
    </r>
  </si>
  <si>
    <r>
      <t xml:space="preserve">D</t>
    </r>
    <r>
      <rPr>
        <rFont val="Arial"/>
        <family val="2"/>
        <b val="true"/>
        <sz val="10"/>
      </rPr>
      <t xml:space="preserve">K</t>
    </r>
    <r>
      <rPr>
        <rFont val="Arial"/>
        <family val="2"/>
        <b val="true"/>
        <sz val="10"/>
        <vertAlign val="subscript"/>
      </rPr>
      <t xml:space="preserve">SV</t>
    </r>
    <r>
      <rPr>
        <rFont val="Arial"/>
        <family val="2"/>
        <b val="true"/>
        <sz val="10"/>
      </rPr>
      <t xml:space="preserve">/K</t>
    </r>
  </si>
  <si>
    <t>m</t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</si>
  <si>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0,T100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</si>
  <si>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0,Tm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</si>
  <si>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100,T100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</si>
  <si>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m,Tm</t>
    </r>
    <r>
      <rPr>
        <rFont val="Arial"/>
        <family val="2"/>
        <b val="true"/>
        <sz val="10"/>
      </rPr>
      <t xml:space="preserve">)</t>
    </r>
  </si>
  <si>
    <r>
      <t xml:space="preserve">K</t>
    </r>
    <r>
      <rPr>
        <rFont val="Arial"/>
        <family val="2"/>
        <b val="true"/>
        <sz val="10"/>
        <vertAlign val="subscript"/>
      </rPr>
      <t xml:space="preserve">SV,T100</t>
    </r>
  </si>
  <si>
    <r>
      <t xml:space="preserve">K</t>
    </r>
    <r>
      <rPr>
        <rFont val="Arial"/>
        <family val="2"/>
        <b val="true"/>
        <sz val="10"/>
        <vertAlign val="subscript"/>
      </rPr>
      <t xml:space="preserve">SV</t>
    </r>
    <r>
      <rPr>
        <rFont val="Arial"/>
        <family val="2"/>
        <b val="true"/>
        <sz val="10"/>
      </rPr>
      <t xml:space="preserve">,T</t>
    </r>
    <r>
      <rPr>
        <rFont val="Arial"/>
        <family val="2"/>
        <b val="true"/>
        <sz val="10"/>
        <vertAlign val="subscript"/>
      </rPr>
      <t xml:space="preserve">m</t>
    </r>
  </si>
  <si>
    <t>A</t>
  </si>
  <si>
    <t>B</t>
  </si>
  <si>
    <t>C</t>
  </si>
  <si>
    <t>a</t>
  </si>
  <si>
    <t>b</t>
  </si>
  <si>
    <t>c</t>
  </si>
  <si>
    <t>Chlorinity</t>
  </si>
  <si>
    <t>Insert your calibration values</t>
  </si>
  <si>
    <t>cal0</t>
  </si>
  <si>
    <t>°</t>
  </si>
  <si>
    <t>T0</t>
  </si>
  <si>
    <t>°C</t>
  </si>
  <si>
    <t>cal100</t>
  </si>
  <si>
    <t>T100</t>
  </si>
  <si>
    <t>air pressure </t>
  </si>
  <si>
    <t>mbar</t>
  </si>
  <si>
    <r>
      <t xml:space="preserve">°/</t>
    </r>
    <r>
      <rPr>
        <rFont val="Arial"/>
        <family val="2"/>
        <b val="true"/>
        <sz val="10"/>
        <vertAlign val="subscript"/>
      </rPr>
      <t xml:space="preserve">°°</t>
    </r>
  </si>
  <si>
    <t>INSERT YOUR RESPECTIVE DATA</t>
  </si>
  <si>
    <t>chamber volume [L]</t>
  </si>
  <si>
    <t>FW alga [g]</t>
  </si>
  <si>
    <t>Chl a (mg)</t>
  </si>
  <si>
    <t>Insert the data you get from the Ascii File recorded with the OxyView TX3-V5.31.exe software </t>
  </si>
  <si>
    <t>The oxygen contents are calculated automatically from the raw data</t>
  </si>
  <si>
    <t>date</t>
  </si>
  <si>
    <t> time/hh:mm:ss</t>
  </si>
  <si>
    <t> logtime/min</t>
  </si>
  <si>
    <t> oxygen/% airsatur.</t>
  </si>
  <si>
    <t> phase/°</t>
  </si>
  <si>
    <t> amp</t>
  </si>
  <si>
    <t> temp/°C</t>
  </si>
  <si>
    <t>% air-sat.</t>
  </si>
  <si>
    <t>% oxygen</t>
  </si>
  <si>
    <t>pO2 (hPa)</t>
  </si>
  <si>
    <t>pO2 (Torr)</t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</si>
  <si>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[mg/L]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</si>
  <si>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</si>
  <si>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 10 min]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</si>
  <si>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 h]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</si>
  <si>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</si>
  <si>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 gFW]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</si>
  <si>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mg Chl a]</t>
    </r>
  </si>
  <si>
    <t>   15:57:03</t>
  </si>
  <si>
    <t>   15:57:15</t>
  </si>
  <si>
    <t>change data input according to column N</t>
  </si>
  <si>
    <t>   15:57:25</t>
  </si>
  <si>
    <t>   15:57:35</t>
  </si>
  <si>
    <t>   15:57:45</t>
  </si>
  <si>
    <t>   15:57:55</t>
  </si>
  <si>
    <t>   15:58:05</t>
  </si>
  <si>
    <t>   15:58:15</t>
  </si>
  <si>
    <t>   15:58:25</t>
  </si>
  <si>
    <t>   15:58:35</t>
  </si>
  <si>
    <t>   15:58:45</t>
  </si>
  <si>
    <t>   15:58:55</t>
  </si>
  <si>
    <t>   15:59:05</t>
  </si>
  <si>
    <t>   15:59:15</t>
  </si>
  <si>
    <t>   15:59:25</t>
  </si>
  <si>
    <t>   15:59:36</t>
  </si>
  <si>
    <t>   15:59:46</t>
  </si>
  <si>
    <t>   15:59:56</t>
  </si>
  <si>
    <t>   16:00:06</t>
  </si>
  <si>
    <t>   16:00:16</t>
  </si>
  <si>
    <t>   16:00:26</t>
  </si>
  <si>
    <t>   16:00:36</t>
  </si>
  <si>
    <t>regression formula</t>
  </si>
  <si>
    <t>time</t>
  </si>
  <si>
    <t>   16:00:46</t>
  </si>
  <si>
    <t>value for T=26 min.</t>
  </si>
  <si>
    <t>T11</t>
  </si>
  <si>
    <t>   16:00:56</t>
  </si>
  <si>
    <t>value for T=1 min.</t>
  </si>
  <si>
    <t>T1</t>
  </si>
  <si>
    <t>   16:01:06</t>
  </si>
  <si>
    <t>difference between T25 and T1</t>
  </si>
  <si>
    <t>10minutes</t>
  </si>
  <si>
    <t>   16:01:16</t>
  </si>
  <si>
    <t>calculate from regression curve values for 10 minutes of photosynthesis or respiration</t>
  </si>
  <si>
    <t>   16:01:26</t>
  </si>
  <si>
    <t>   16:01:36</t>
  </si>
  <si>
    <t>   16:01:46</t>
  </si>
  <si>
    <t>   16:01:56</t>
  </si>
  <si>
    <t>   16:02:06</t>
  </si>
  <si>
    <t>   16:02:16</t>
  </si>
  <si>
    <t>   16:02:26</t>
  </si>
  <si>
    <t>   16:02:36</t>
  </si>
  <si>
    <t>   16:02:46</t>
  </si>
  <si>
    <t>   16:02:56</t>
  </si>
  <si>
    <t>   16:03:06</t>
  </si>
  <si>
    <t>   16:03:16</t>
  </si>
  <si>
    <t>   16:03:26</t>
  </si>
  <si>
    <t>   16:03:35</t>
  </si>
  <si>
    <t>   16:03:45</t>
  </si>
  <si>
    <t>   16:03:55</t>
  </si>
  <si>
    <t>   16:04:05</t>
  </si>
  <si>
    <t>   16:04:15</t>
  </si>
  <si>
    <t>   16:04:25</t>
  </si>
  <si>
    <t>   16:04:35</t>
  </si>
  <si>
    <t>   16:04:45</t>
  </si>
  <si>
    <t>   16:04:55</t>
  </si>
  <si>
    <t>   16:05:05</t>
  </si>
  <si>
    <t>   16:05:15</t>
  </si>
  <si>
    <t>   16:05:25</t>
  </si>
  <si>
    <t>   16:05:35</t>
  </si>
  <si>
    <t>   16:05:45</t>
  </si>
  <si>
    <t>   16:05:55</t>
  </si>
  <si>
    <t>   16:06:05</t>
  </si>
  <si>
    <t>   16:06:15</t>
  </si>
  <si>
    <t>   16:06:25</t>
  </si>
  <si>
    <t>   16:06:35</t>
  </si>
  <si>
    <t>   16:06:45</t>
  </si>
  <si>
    <t>   16:06:55</t>
  </si>
  <si>
    <t>   16:07:05</t>
  </si>
  <si>
    <t>   16:07:15</t>
  </si>
  <si>
    <t>   16:07:25</t>
  </si>
</sst>
</file>

<file path=xl/styles.xml><?xml version="1.0" encoding="utf-8"?>
<styleSheet xmlns="http://schemas.openxmlformats.org/spreadsheetml/2006/main">
  <numFmts count="5">
    <numFmt formatCode="GENERAL" numFmtId="164"/>
    <numFmt formatCode="M/D/YYYY" numFmtId="165"/>
    <numFmt formatCode="0.000" numFmtId="166"/>
    <numFmt formatCode="0.00" numFmtId="167"/>
    <numFmt formatCode="0.0" numFmtId="168"/>
  </numFmts>
  <fonts count="15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16"/>
    </font>
    <font>
      <name val="Arial"/>
      <family val="2"/>
      <b val="true"/>
      <sz val="12"/>
    </font>
    <font>
      <name val="Arial"/>
      <family val="2"/>
      <b val="true"/>
      <sz val="10"/>
    </font>
    <font>
      <name val="Symbol"/>
      <charset val="2"/>
      <family val="1"/>
      <sz val="10"/>
    </font>
    <font>
      <name val="Arial"/>
      <family val="2"/>
      <sz val="10"/>
      <vertAlign val="subscript"/>
    </font>
    <font>
      <name val="Arial"/>
      <family val="2"/>
      <b val="true"/>
      <sz val="14"/>
    </font>
    <font>
      <name val="Arial"/>
      <family val="2"/>
      <b val="true"/>
      <sz val="14"/>
      <vertAlign val="subscript"/>
    </font>
    <font>
      <name val="Symbol"/>
      <charset val="2"/>
      <family val="1"/>
      <b val="true"/>
      <sz val="10"/>
    </font>
    <font>
      <name val="Arial"/>
      <family val="2"/>
      <b val="true"/>
      <sz val="10"/>
      <vertAlign val="subscript"/>
    </font>
    <font>
      <name val="Arial"/>
      <family val="2"/>
      <color rgb="FF000000"/>
      <sz val="10"/>
    </font>
    <font>
      <name val="Arial"/>
      <family val="2"/>
      <color rgb="FF000000"/>
      <sz val="9.2"/>
    </font>
  </fonts>
  <fills count="8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00FF00"/>
        <bgColor rgb="FF33CCCC"/>
      </patternFill>
    </fill>
    <fill>
      <patternFill patternType="solid">
        <fgColor rgb="FFFF0000"/>
        <bgColor rgb="FF993300"/>
      </patternFill>
    </fill>
    <fill>
      <patternFill patternType="solid">
        <fgColor rgb="FF99CC00"/>
        <bgColor rgb="FFFFCC00"/>
      </patternFill>
    </fill>
    <fill>
      <patternFill patternType="solid">
        <fgColor rgb="FFFFFF00"/>
        <bgColor rgb="FFFFFF00"/>
      </patternFill>
    </fill>
    <fill>
      <patternFill patternType="solid">
        <fgColor rgb="FFFFCC00"/>
        <bgColor rgb="FFFFFF00"/>
      </patternFill>
    </fill>
  </fills>
  <borders count="27">
    <border diagonalDown="false" diagonalUp="false">
      <left/>
      <right/>
      <top/>
      <bottom/>
      <diagonal/>
    </border>
    <border diagonalDown="false" diagonalUp="false">
      <left style="medium"/>
      <right/>
      <top style="medium"/>
      <bottom/>
      <diagonal/>
    </border>
    <border diagonalDown="false" diagonalUp="false">
      <left style="medium"/>
      <right style="medium"/>
      <top style="medium"/>
      <bottom/>
      <diagonal/>
    </border>
    <border diagonalDown="false" diagonalUp="false">
      <left/>
      <right/>
      <top style="medium"/>
      <bottom/>
      <diagonal/>
    </border>
    <border diagonalDown="false" diagonalUp="false">
      <left/>
      <right style="medium"/>
      <top style="medium"/>
      <bottom/>
      <diagonal/>
    </border>
    <border diagonalDown="false" diagonalUp="false">
      <left style="medium"/>
      <right/>
      <top/>
      <bottom/>
      <diagonal/>
    </border>
    <border diagonalDown="false" diagonalUp="false">
      <left/>
      <right style="medium"/>
      <top/>
      <bottom/>
      <diagonal/>
    </border>
    <border diagonalDown="false" diagonalUp="false">
      <left style="medium"/>
      <right style="medium"/>
      <top/>
      <bottom/>
      <diagonal/>
    </border>
    <border diagonalDown="false" diagonalUp="false">
      <left style="medium"/>
      <right/>
      <top/>
      <bottom style="medium"/>
      <diagonal/>
    </border>
    <border diagonalDown="false" diagonalUp="false">
      <left style="medium"/>
      <right style="medium"/>
      <top/>
      <bottom style="medium"/>
      <diagonal/>
    </border>
    <border diagonalDown="false" diagonalUp="false">
      <left/>
      <right/>
      <top/>
      <bottom style="medium"/>
      <diagonal/>
    </border>
    <border diagonalDown="false" diagonalUp="false">
      <left/>
      <right style="medium"/>
      <top/>
      <bottom style="medium"/>
      <diagonal/>
    </border>
    <border diagonalDown="false" diagonalUp="false">
      <left/>
      <right style="double"/>
      <top style="medium"/>
      <bottom/>
      <diagonal/>
    </border>
    <border diagonalDown="false" diagonalUp="false">
      <left style="double"/>
      <right style="thin"/>
      <top style="medium"/>
      <bottom/>
      <diagonal/>
    </border>
    <border diagonalDown="false" diagonalUp="false">
      <left/>
      <right style="double"/>
      <top/>
      <bottom/>
      <diagonal/>
    </border>
    <border diagonalDown="false" diagonalUp="false">
      <left style="double"/>
      <right style="thin"/>
      <top/>
      <bottom/>
      <diagonal/>
    </border>
    <border diagonalDown="false" diagonalUp="false">
      <left style="thin"/>
      <right/>
      <top/>
      <bottom style="medium"/>
      <diagonal/>
    </border>
    <border diagonalDown="false" diagonalUp="false">
      <left/>
      <right style="double"/>
      <top/>
      <bottom style="medium"/>
      <diagonal/>
    </border>
    <border diagonalDown="false" diagonalUp="false">
      <left style="double"/>
      <right style="thin"/>
      <top/>
      <bottom style="medium"/>
      <diagonal/>
    </border>
    <border diagonalDown="false" diagonalUp="false">
      <left style="medium"/>
      <right/>
      <top style="medium"/>
      <bottom style="medium"/>
      <diagonal/>
    </border>
    <border diagonalDown="false" diagonalUp="false">
      <left/>
      <right style="medium"/>
      <top style="medium"/>
      <bottom style="medium"/>
      <diagonal/>
    </border>
    <border diagonalDown="false" diagonalUp="false">
      <left style="medium"/>
      <right/>
      <top style="medium"/>
      <bottom style="thin"/>
      <diagonal/>
    </border>
    <border diagonalDown="false" diagonalUp="false">
      <left/>
      <right/>
      <top style="medium"/>
      <bottom style="thin"/>
      <diagonal/>
    </border>
    <border diagonalDown="false" diagonalUp="false">
      <left/>
      <right style="medium"/>
      <top style="medium"/>
      <bottom style="thin"/>
      <diagonal/>
    </border>
    <border diagonalDown="false" diagonalUp="false">
      <left style="medium"/>
      <right/>
      <top style="thin"/>
      <bottom style="medium"/>
      <diagonal/>
    </border>
    <border diagonalDown="false" diagonalUp="false">
      <left/>
      <right/>
      <top style="thin"/>
      <bottom style="medium"/>
      <diagonal/>
    </border>
    <border diagonalDown="false" diagonalUp="false">
      <left/>
      <right style="medium"/>
      <top style="thin"/>
      <bottom style="medium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32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4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0" fillId="0" fontId="5" numFmtId="164" xfId="0">
      <alignment horizontal="center" indent="0" shrinkToFit="false" textRotation="0" vertical="top" wrapText="true"/>
      <protection hidden="false" locked="true"/>
    </xf>
    <xf applyAlignment="false" applyBorder="tru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0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" fillId="0" fontId="6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3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7" fillId="0" fontId="0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7" fillId="0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8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9" fillId="0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0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3" fontId="9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4" fillId="3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3" fontId="9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3" fontId="9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6" fillId="3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3" fontId="9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7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8" fillId="3" fontId="9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0" fillId="3" fontId="9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3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9" numFmtId="167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11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tru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6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4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0" fillId="4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4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top" wrapText="true"/>
      <protection hidden="false" locked="true"/>
    </xf>
    <xf applyAlignment="true" applyBorder="false" applyFont="true" applyProtection="false" borderId="0" fillId="0" fontId="5" numFmtId="168" xfId="0">
      <alignment horizontal="center" indent="0" shrinkToFit="false" textRotation="0" vertical="top" wrapText="true"/>
      <protection hidden="false" locked="true"/>
    </xf>
    <xf applyAlignment="true" applyBorder="false" applyFont="fals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false" applyBorder="false" applyFont="false" applyProtection="fals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2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3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5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4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5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5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6" fillId="5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7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8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5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5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0" fontId="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3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3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4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4" fillId="4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0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19" fillId="0" fontId="6" numFmtId="164" xfId="0">
      <alignment horizontal="general" indent="0" shrinkToFit="false" textRotation="0" vertical="bottom" wrapText="true"/>
      <protection hidden="false" locked="true"/>
    </xf>
    <xf applyAlignment="true" applyBorder="true" applyFont="false" applyProtection="false" borderId="20" fillId="0" fontId="0" numFmtId="164" xfId="0">
      <alignment horizontal="general" indent="0" shrinkToFit="false" textRotation="0" vertical="bottom" wrapText="true"/>
      <protection hidden="false" locked="true"/>
    </xf>
    <xf applyAlignment="false" applyBorder="true" applyFont="false" applyProtection="false" borderId="5" fillId="4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6" fontId="6" numFmtId="164" xfId="0">
      <alignment horizontal="general" indent="0" shrinkToFit="false" textRotation="0" vertical="bottom" wrapText="true"/>
      <protection hidden="false" locked="true"/>
    </xf>
    <xf applyAlignment="false" applyBorder="true" applyFont="true" applyProtection="false" borderId="3" fillId="6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4" fillId="6" fontId="6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8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10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8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1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4" fontId="0" numFmtId="168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8" fillId="6" fontId="6" numFmtId="164" xfId="0">
      <alignment horizontal="right" indent="0" shrinkToFit="false" textRotation="0" vertical="bottom" wrapText="true"/>
      <protection hidden="false" locked="true"/>
    </xf>
    <xf applyAlignment="true" applyBorder="true" applyFont="true" applyProtection="false" borderId="10" fillId="6" fontId="6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1" fillId="6" fontId="6" numFmtId="164" xfId="0">
      <alignment horizontal="general" indent="0" shrinkToFit="false" textRotation="0" vertical="bottom" wrapText="true"/>
      <protection hidden="false" locked="tru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5" fillId="0" fontId="6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21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22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23" fillId="0" fontId="6" numFmtId="164" xfId="0">
      <alignment horizontal="left" indent="0" shrinkToFit="false" textRotation="0" vertical="bottom" wrapText="tru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6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24" fillId="6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25" fillId="6" fontId="0" numFmtId="167" xfId="0">
      <alignment horizontal="center" indent="0" shrinkToFit="false" textRotation="0" vertical="center" wrapText="true"/>
      <protection hidden="false" locked="true"/>
    </xf>
    <xf applyAlignment="true" applyBorder="true" applyFont="false" applyProtection="false" borderId="25" fillId="6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25" fillId="6" fontId="0" numFmtId="167" xfId="0">
      <alignment horizontal="center" indent="0" shrinkToFit="false" textRotation="0" vertical="center" wrapText="false"/>
      <protection hidden="false" locked="true"/>
    </xf>
    <xf applyAlignment="true" applyBorder="true" applyFont="false" applyProtection="false" borderId="26" fillId="6" fontId="0" numFmtId="167" xfId="0">
      <alignment horizontal="center" indent="0" shrinkToFit="false" textRotation="0" vertical="bottom" wrapText="false"/>
      <protection hidden="false" locked="true"/>
    </xf>
    <xf applyAlignment="true" applyBorder="true" applyFont="false" applyProtection="false" borderId="0" fillId="0" fontId="0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false" applyFont="false" applyProtection="false" borderId="0" fillId="7" fontId="0" numFmtId="164" xfId="0">
      <alignment horizontal="general" indent="0" shrinkToFit="false" textRotation="0" vertical="bottom" wrapText="true"/>
      <protection hidden="false" locked="true"/>
    </xf>
    <xf applyAlignment="true" applyBorder="false" applyFont="true" applyProtection="false" borderId="0" fillId="6" fontId="6" numFmtId="164" xfId="0">
      <alignment horizontal="general" indent="0" shrinkToFit="false" textRotation="0" vertical="bottom" wrapText="tru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21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spPr>
            <a:solidFill>
              <a:srgbClr val="000080"/>
            </a:solidFill>
          </c:spPr>
          <c:marker/>
          <c:yVal>
            <c:numRef>
              <c:f>'Recalculate Fibox values'!$N$27:$N$83</c:f>
              <c:numCache>
                <c:formatCode>General</c:formatCode>
                <c:ptCount val="57"/>
                <c:pt idx="0">
                  <c:v>289.514060684984</c:v>
                </c:pt>
                <c:pt idx="1">
                  <c:v>294.094570571554</c:v>
                </c:pt>
                <c:pt idx="2">
                  <c:v>290.852322233852</c:v>
                </c:pt>
                <c:pt idx="3">
                  <c:v>290.048476925216</c:v>
                </c:pt>
                <c:pt idx="4">
                  <c:v>290.048476925216</c:v>
                </c:pt>
                <c:pt idx="5">
                  <c:v>289.781121022075</c:v>
                </c:pt>
                <c:pt idx="6">
                  <c:v>290.316128814362</c:v>
                </c:pt>
                <c:pt idx="7">
                  <c:v>287.682790129596</c:v>
                </c:pt>
                <c:pt idx="8">
                  <c:v>287.153191408032</c:v>
                </c:pt>
                <c:pt idx="9">
                  <c:v>287.153191408032</c:v>
                </c:pt>
                <c:pt idx="10">
                  <c:v>291.962034003535</c:v>
                </c:pt>
                <c:pt idx="11">
                  <c:v>290.080529533699</c:v>
                </c:pt>
                <c:pt idx="12">
                  <c:v>292.232015366776</c:v>
                </c:pt>
                <c:pt idx="13">
                  <c:v>287.682790129596</c:v>
                </c:pt>
                <c:pt idx="14">
                  <c:v>288.745505323614</c:v>
                </c:pt>
                <c:pt idx="15">
                  <c:v>289.545632888425</c:v>
                </c:pt>
                <c:pt idx="16">
                  <c:v>293.314945391476</c:v>
                </c:pt>
                <c:pt idx="17">
                  <c:v>290.34842259865</c:v>
                </c:pt>
                <c:pt idx="18">
                  <c:v>292.772878609085</c:v>
                </c:pt>
                <c:pt idx="19">
                  <c:v>291.69235224314</c:v>
                </c:pt>
                <c:pt idx="20">
                  <c:v>292.232015366776</c:v>
                </c:pt>
                <c:pt idx="21">
                  <c:v>292.232015366776</c:v>
                </c:pt>
                <c:pt idx="22">
                  <c:v>291.42296965962</c:v>
                </c:pt>
                <c:pt idx="23">
                  <c:v>290.885100322722</c:v>
                </c:pt>
                <c:pt idx="24">
                  <c:v>294.402703316922</c:v>
                </c:pt>
                <c:pt idx="25">
                  <c:v>292.772878609085</c:v>
                </c:pt>
                <c:pt idx="26">
                  <c:v>288.479385765272</c:v>
                </c:pt>
                <c:pt idx="27">
                  <c:v>292.772878609085</c:v>
                </c:pt>
                <c:pt idx="28">
                  <c:v>292.232015366776</c:v>
                </c:pt>
                <c:pt idx="29">
                  <c:v>293.623549349584</c:v>
                </c:pt>
                <c:pt idx="30">
                  <c:v>296.632745692896</c:v>
                </c:pt>
                <c:pt idx="31">
                  <c:v>290.919730630968</c:v>
                </c:pt>
                <c:pt idx="32">
                  <c:v>290.3825632631</c:v>
                </c:pt>
                <c:pt idx="33">
                  <c:v>289.57904399353</c:v>
                </c:pt>
                <c:pt idx="34">
                  <c:v>290.3825632631</c:v>
                </c:pt>
                <c:pt idx="35">
                  <c:v>292.267881308152</c:v>
                </c:pt>
                <c:pt idx="36">
                  <c:v>290.919730630968</c:v>
                </c:pt>
                <c:pt idx="37">
                  <c:v>294.713532392132</c:v>
                </c:pt>
                <c:pt idx="38">
                  <c:v>292.267881308152</c:v>
                </c:pt>
                <c:pt idx="39">
                  <c:v>289.846586743128</c:v>
                </c:pt>
                <c:pt idx="40">
                  <c:v>290.650997879195</c:v>
                </c:pt>
                <c:pt idx="41">
                  <c:v>290.650997879195</c:v>
                </c:pt>
                <c:pt idx="42">
                  <c:v>293.895589764219</c:v>
                </c:pt>
                <c:pt idx="43">
                  <c:v>288.77819272612</c:v>
                </c:pt>
                <c:pt idx="44">
                  <c:v>293.895589764219</c:v>
                </c:pt>
                <c:pt idx="45">
                  <c:v>293.080376618774</c:v>
                </c:pt>
                <c:pt idx="46">
                  <c:v>294.986788507665</c:v>
                </c:pt>
                <c:pt idx="47">
                  <c:v>294.167933454224</c:v>
                </c:pt>
                <c:pt idx="48">
                  <c:v>291.997651496098</c:v>
                </c:pt>
                <c:pt idx="49">
                  <c:v>294.167933454224</c:v>
                </c:pt>
                <c:pt idx="50">
                  <c:v>291.458092240443</c:v>
                </c:pt>
                <c:pt idx="51">
                  <c:v>295.534216206176</c:v>
                </c:pt>
                <c:pt idx="52">
                  <c:v>290.956204085095</c:v>
                </c:pt>
                <c:pt idx="53">
                  <c:v>292.576386108846</c:v>
                </c:pt>
                <c:pt idx="54">
                  <c:v>297.226212935861</c:v>
                </c:pt>
                <c:pt idx="55">
                  <c:v>295.575004814272</c:v>
                </c:pt>
                <c:pt idx="56">
                  <c:v>294.480336594887</c:v>
                </c:pt>
              </c:numCache>
            </c:numRef>
          </c:yVal>
        </c:ser>
        <c:axId val="2170835"/>
        <c:axId val="54186736"/>
      </c:scatterChart>
      <c:valAx>
        <c:axId val="2170835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crossAx val="54186736"/>
        <c:crossesAt val="0"/>
      </c:valAx>
      <c:valAx>
        <c:axId val="54186736"/>
        <c:scaling>
          <c:orientation val="minMax"/>
        </c:scaling>
        <c:delete val="0"/>
        <c:axPos val="l"/>
        <c:majorGridlines>
          <c:spPr>
            <a:ln>
              <a:solidFill>
                <a:srgbClr val="000000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crossAx val="2170835"/>
        <c:crossesAt val="0"/>
      </c:valAx>
      <c:spPr>
        <a:solidFill>
          <a:srgbClr val="c0c0c0"/>
        </a:solidFill>
        <a:ln w="12600">
          <a:solidFill>
            <a:srgbClr val="808080"/>
          </a:solidFill>
          <a:round/>
        </a:ln>
      </c:spPr>
    </c:plotArea>
    <c:legend>
      <c:spPr>
        <a:solidFill>
          <a:srgbClr val="ffffff"/>
        </a:solidFill>
        <a:ln>
          <a:solidFill>
            <a:srgbClr val="000000"/>
          </a:solidFill>
        </a:ln>
      </c:spPr>
    </c:legend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21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14</xdr:col>
      <xdr:colOff>292680</xdr:colOff>
      <xdr:row>22</xdr:row>
      <xdr:rowOff>152640</xdr:rowOff>
    </xdr:from>
    <xdr:to>
      <xdr:col>20</xdr:col>
      <xdr:colOff>342000</xdr:colOff>
      <xdr:row>39</xdr:row>
      <xdr:rowOff>95760</xdr:rowOff>
    </xdr:to>
    <xdr:graphicFrame>
      <xdr:nvGraphicFramePr>
        <xdr:cNvPr id="0" name="Diagramm 2"/>
        <xdr:cNvGraphicFramePr/>
      </xdr:nvGraphicFramePr>
      <xdr:xfrm>
        <a:off x="12126960" y="4476960"/>
        <a:ext cx="4799160" cy="2695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45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B13" activeCellId="0" pane="topLeft" sqref="B13"/>
    </sheetView>
  </sheetViews>
  <sheetFormatPr defaultRowHeight="12.75"/>
  <cols>
    <col collapsed="false" hidden="false" max="1" min="1" style="0" width="18.1224489795918"/>
    <col collapsed="false" hidden="false" max="2" min="2" style="0" width="21.265306122449"/>
    <col collapsed="false" hidden="false" max="5" min="5" style="0" width="21.265306122449"/>
  </cols>
  <sheetData>
    <row collapsed="false" customFormat="false" customHeight="false" hidden="false" ht="12.75" outlineLevel="0" r="1">
      <c r="A1" s="1" t="s">
        <v>0</v>
      </c>
      <c r="D1" s="2"/>
      <c r="E1" s="2" t="n">
        <v>39536</v>
      </c>
    </row>
    <row collapsed="false" customFormat="false" customHeight="false" hidden="false" ht="12.75" outlineLevel="0" r="2">
      <c r="A2" s="1" t="s">
        <v>1</v>
      </c>
      <c r="D2" s="2"/>
      <c r="E2" s="2"/>
    </row>
    <row collapsed="false" customFormat="false" customHeight="true" hidden="false" ht="45" outlineLevel="0" r="3">
      <c r="A3" s="3" t="s">
        <v>2</v>
      </c>
      <c r="B3" s="3"/>
      <c r="C3" s="3"/>
      <c r="D3" s="3"/>
      <c r="E3" s="3"/>
    </row>
    <row collapsed="false" customFormat="false" customHeight="true" hidden="false" ht="15.75" outlineLevel="0" r="4">
      <c r="A4" s="4" t="s">
        <v>3</v>
      </c>
      <c r="B4" s="4"/>
      <c r="C4" s="4"/>
      <c r="D4" s="4"/>
      <c r="E4" s="5"/>
    </row>
    <row collapsed="false" customFormat="false" customHeight="false" hidden="false" ht="13.5" outlineLevel="0" r="5">
      <c r="E5" s="6"/>
    </row>
    <row collapsed="false" customFormat="false" customHeight="false" hidden="false" ht="12.75" outlineLevel="0" r="6">
      <c r="A6" s="7"/>
      <c r="B6" s="8" t="s">
        <v>4</v>
      </c>
      <c r="C6" s="9"/>
      <c r="D6" s="10"/>
      <c r="E6" s="11"/>
    </row>
    <row collapsed="false" customFormat="false" customHeight="false" hidden="false" ht="15.75" outlineLevel="0" r="7">
      <c r="A7" s="12" t="s">
        <v>5</v>
      </c>
      <c r="B7" s="0" t="n">
        <v>58.2</v>
      </c>
      <c r="C7" s="13" t="s">
        <v>6</v>
      </c>
      <c r="D7" s="13"/>
      <c r="E7" s="14"/>
    </row>
    <row collapsed="false" customFormat="false" customHeight="false" hidden="false" ht="15.75" outlineLevel="0" r="8">
      <c r="A8" s="12" t="s">
        <v>7</v>
      </c>
      <c r="B8" s="0" t="n">
        <v>28.64</v>
      </c>
      <c r="C8" s="13" t="s">
        <v>8</v>
      </c>
      <c r="D8" s="13"/>
      <c r="E8" s="14"/>
    </row>
    <row collapsed="false" customFormat="false" customHeight="false" hidden="false" ht="15.75" outlineLevel="0" r="9">
      <c r="A9" s="12" t="s">
        <v>9</v>
      </c>
      <c r="B9" s="15" t="n">
        <v>15</v>
      </c>
      <c r="C9" s="13" t="s">
        <v>10</v>
      </c>
      <c r="D9" s="13"/>
      <c r="E9" s="14"/>
    </row>
    <row collapsed="false" customFormat="false" customHeight="false" hidden="false" ht="15.75" outlineLevel="0" r="10">
      <c r="A10" s="12" t="s">
        <v>11</v>
      </c>
      <c r="B10" s="0" t="n">
        <v>17.6</v>
      </c>
      <c r="C10" s="13" t="s">
        <v>12</v>
      </c>
      <c r="D10" s="13"/>
      <c r="E10" s="14"/>
    </row>
    <row collapsed="false" customFormat="false" customHeight="false" hidden="false" ht="15.75" outlineLevel="0" r="11">
      <c r="A11" s="12" t="s">
        <v>13</v>
      </c>
      <c r="B11" s="0" t="n">
        <v>17.7</v>
      </c>
      <c r="C11" s="13" t="s">
        <v>14</v>
      </c>
      <c r="D11" s="13"/>
      <c r="E11" s="14"/>
    </row>
    <row collapsed="false" customFormat="false" customHeight="false" hidden="false" ht="15.75" outlineLevel="0" r="12">
      <c r="A12" s="12" t="s">
        <v>15</v>
      </c>
      <c r="B12" s="16" t="n">
        <v>17.4</v>
      </c>
      <c r="C12" s="13" t="s">
        <v>16</v>
      </c>
      <c r="D12" s="13"/>
      <c r="E12" s="14"/>
    </row>
    <row collapsed="false" customFormat="false" customHeight="false" hidden="false" ht="15.75" outlineLevel="0" r="13">
      <c r="A13" s="12" t="s">
        <v>17</v>
      </c>
      <c r="B13" s="16" t="n">
        <v>1013</v>
      </c>
      <c r="C13" s="13" t="s">
        <v>18</v>
      </c>
      <c r="D13" s="13"/>
      <c r="E13" s="14"/>
    </row>
    <row collapsed="false" customFormat="false" customHeight="false" hidden="false" ht="13.5" outlineLevel="0" r="14">
      <c r="A14" s="17" t="s">
        <v>19</v>
      </c>
      <c r="B14" s="18" t="n">
        <v>32.2</v>
      </c>
      <c r="C14" s="19" t="s">
        <v>19</v>
      </c>
      <c r="D14" s="19"/>
      <c r="E14" s="20"/>
    </row>
    <row collapsed="false" customFormat="false" customHeight="false" hidden="false" ht="13.5" outlineLevel="0" r="15">
      <c r="B15" s="5"/>
      <c r="C15" s="1"/>
      <c r="E15" s="1"/>
    </row>
    <row collapsed="false" customFormat="false" customHeight="false" hidden="false" ht="18" outlineLevel="0" r="16">
      <c r="A16" s="21" t="s">
        <v>20</v>
      </c>
      <c r="B16" s="21"/>
      <c r="C16" s="21"/>
      <c r="D16" s="21"/>
      <c r="E16" s="22"/>
    </row>
    <row collapsed="false" customFormat="false" customHeight="false" hidden="false" ht="18" outlineLevel="0" r="17">
      <c r="A17" s="23"/>
      <c r="B17" s="24"/>
      <c r="C17" s="24"/>
      <c r="D17" s="24"/>
      <c r="E17" s="25"/>
    </row>
    <row collapsed="false" customFormat="false" customHeight="false" hidden="false" ht="18" outlineLevel="0" r="18">
      <c r="A18" s="26" t="s">
        <v>21</v>
      </c>
      <c r="B18" s="27" t="n">
        <f aca="false">(-B43+(SQRT((POWER(B43,2))-4*B42*B44)))/(2*B42)</f>
        <v>417.47370912375</v>
      </c>
      <c r="C18" s="28" t="s">
        <v>22</v>
      </c>
      <c r="D18" s="29"/>
      <c r="E18" s="25"/>
    </row>
    <row collapsed="false" customFormat="false" customHeight="false" hidden="false" ht="21" outlineLevel="0" r="19">
      <c r="A19" s="26" t="s">
        <v>23</v>
      </c>
      <c r="B19" s="27" t="n">
        <f aca="false">B18*20.9/100</f>
        <v>87.2520052068637</v>
      </c>
      <c r="C19" s="28" t="s">
        <v>22</v>
      </c>
      <c r="D19" s="29"/>
      <c r="E19" s="25"/>
    </row>
    <row collapsed="false" customFormat="false" customHeight="false" hidden="false" ht="21" outlineLevel="0" r="20">
      <c r="A20" s="26" t="s">
        <v>24</v>
      </c>
      <c r="B20" s="30" t="n">
        <f aca="false">($B$13-EXP(52.57-6690.9/(273.15+$B$12)-4.681*LN(273.15+$B$12)))*$B$18/100*0.2095</f>
        <v>868.549920764439</v>
      </c>
      <c r="C20" s="28" t="s">
        <v>25</v>
      </c>
      <c r="D20" s="29"/>
      <c r="E20" s="25"/>
    </row>
    <row collapsed="false" customFormat="false" customHeight="false" hidden="false" ht="21" outlineLevel="0" r="21">
      <c r="A21" s="26" t="s">
        <v>26</v>
      </c>
      <c r="B21" s="30" t="n">
        <f aca="false">B20/1.33322</f>
        <v>651.467815337633</v>
      </c>
      <c r="C21" s="28" t="s">
        <v>27</v>
      </c>
      <c r="D21" s="29"/>
      <c r="E21" s="25"/>
    </row>
    <row collapsed="false" customFormat="false" customHeight="false" hidden="false" ht="21" outlineLevel="0" r="22">
      <c r="A22" s="26" t="s">
        <v>28</v>
      </c>
      <c r="B22" s="27" t="n">
        <f aca="false">(($B$13-EXP(52.57-6690.9/(273.15+$B$12)-4.681*LN(273.15+$B$12)))/1013)*$B$18/100*0.2095*((49-1.335*B12+0.02759*POWER(B12,2)-0.0003235*POWER(B12,3)+0.000001614*POWER(B12,4))-(B45*((5.516*10^-1-1.759*10^-2*B12+2.253*10^-4*POWER(B12,2)-2.654*10^-7*POWER(B12,3)+5.362*10^-8*POWER(B12,4)))))*32/22.414</f>
        <v>32.9446273957553</v>
      </c>
      <c r="C22" s="28" t="s">
        <v>29</v>
      </c>
      <c r="D22" s="28"/>
      <c r="E22" s="25"/>
    </row>
    <row collapsed="false" customFormat="false" customHeight="false" hidden="false" ht="21" outlineLevel="0" r="23">
      <c r="A23" s="26" t="s">
        <v>30</v>
      </c>
      <c r="B23" s="27" t="n">
        <f aca="false">B22</f>
        <v>32.9446273957553</v>
      </c>
      <c r="C23" s="28" t="s">
        <v>31</v>
      </c>
      <c r="D23" s="29"/>
      <c r="E23" s="25"/>
    </row>
    <row collapsed="false" customFormat="false" customHeight="false" hidden="false" ht="21.75" outlineLevel="0" r="24">
      <c r="A24" s="31" t="s">
        <v>32</v>
      </c>
      <c r="B24" s="32" t="n">
        <f aca="false">B22*31.25</f>
        <v>1029.51960611735</v>
      </c>
      <c r="C24" s="33" t="s">
        <v>33</v>
      </c>
      <c r="D24" s="34"/>
      <c r="E24" s="35"/>
    </row>
    <row collapsed="false" customFormat="false" customHeight="false" hidden="false" ht="18.75" outlineLevel="0" r="25">
      <c r="A25" s="36"/>
      <c r="B25" s="37"/>
      <c r="C25" s="36"/>
      <c r="D25" s="1"/>
      <c r="E25" s="38"/>
    </row>
    <row collapsed="false" customFormat="false" customHeight="false" hidden="false" ht="13.5" outlineLevel="0" r="26">
      <c r="A26" s="39" t="s">
        <v>34</v>
      </c>
      <c r="B26" s="40"/>
      <c r="C26" s="40"/>
      <c r="D26" s="40"/>
      <c r="E26" s="41"/>
    </row>
    <row collapsed="false" customFormat="false" customHeight="false" hidden="false" ht="12.75" outlineLevel="0" r="27">
      <c r="A27" s="42" t="s">
        <v>35</v>
      </c>
      <c r="B27" s="43" t="n">
        <v>0.801</v>
      </c>
      <c r="C27" s="44"/>
      <c r="D27" s="44"/>
      <c r="E27" s="45"/>
    </row>
    <row collapsed="false" customFormat="false" customHeight="false" hidden="false" ht="12.75" outlineLevel="0" r="28">
      <c r="A28" s="46" t="s">
        <v>36</v>
      </c>
      <c r="B28" s="47" t="n">
        <v>-0.08</v>
      </c>
      <c r="C28" s="44"/>
      <c r="D28" s="44"/>
      <c r="E28" s="45"/>
    </row>
    <row collapsed="false" customFormat="false" customHeight="false" hidden="false" ht="14.25" outlineLevel="0" r="29">
      <c r="A29" s="46" t="s">
        <v>37</v>
      </c>
      <c r="B29" s="47" t="n">
        <v>0.000383</v>
      </c>
      <c r="C29" s="44"/>
      <c r="D29" s="44"/>
      <c r="E29" s="45"/>
    </row>
    <row collapsed="false" customFormat="false" customHeight="false" hidden="false" ht="12.75" outlineLevel="0" r="30">
      <c r="A30" s="42" t="s">
        <v>38</v>
      </c>
      <c r="B30" s="47" t="n">
        <v>22.9</v>
      </c>
      <c r="C30" s="44"/>
      <c r="D30" s="44"/>
      <c r="E30" s="45"/>
    </row>
    <row collapsed="false" customFormat="false" customHeight="false" hidden="false" ht="14.25" outlineLevel="0" r="31">
      <c r="A31" s="42" t="s">
        <v>39</v>
      </c>
      <c r="B31" s="48" t="n">
        <f aca="false">TAN(((B7+B28*(B11-B10)))*PI()/180)</f>
        <v>1.61233217673933</v>
      </c>
      <c r="C31" s="47"/>
      <c r="D31" s="47"/>
      <c r="E31" s="45"/>
    </row>
    <row collapsed="false" customFormat="false" customHeight="false" hidden="false" ht="14.25" outlineLevel="0" r="32">
      <c r="A32" s="42" t="s">
        <v>40</v>
      </c>
      <c r="B32" s="48" t="n">
        <f aca="false">TAN((B7+(B28*(B12-B10)))*PI()/180)</f>
        <v>1.61384099906959</v>
      </c>
      <c r="C32" s="47"/>
      <c r="D32" s="47"/>
      <c r="E32" s="45"/>
    </row>
    <row collapsed="false" customFormat="false" customHeight="false" hidden="false" ht="14.25" outlineLevel="0" r="33">
      <c r="A33" s="42" t="s">
        <v>41</v>
      </c>
      <c r="B33" s="48" t="n">
        <f aca="false">TAN(B8*PI()/180)</f>
        <v>0.546123704327449</v>
      </c>
      <c r="C33" s="47"/>
      <c r="D33" s="47"/>
      <c r="E33" s="45"/>
    </row>
    <row collapsed="false" customFormat="false" customHeight="false" hidden="false" ht="14.25" outlineLevel="0" r="34">
      <c r="A34" s="42" t="s">
        <v>42</v>
      </c>
      <c r="B34" s="48" t="n">
        <f aca="false">TAN(B9*PI()/180)</f>
        <v>0.267949192431123</v>
      </c>
      <c r="C34" s="47"/>
      <c r="D34" s="47"/>
      <c r="E34" s="45"/>
    </row>
    <row collapsed="false" customFormat="false" customHeight="false" hidden="false" ht="14.25" outlineLevel="0" r="35">
      <c r="A35" s="42" t="s">
        <v>43</v>
      </c>
      <c r="B35" s="49" t="n">
        <f aca="false">(-B39+(SQRT(POWER(B39,2)-4*B38*B40)))/(2*B38)</f>
        <v>0.0377187033565615</v>
      </c>
      <c r="C35" s="47"/>
      <c r="D35" s="47"/>
      <c r="E35" s="45"/>
    </row>
    <row collapsed="false" customFormat="false" customHeight="false" hidden="false" ht="14.25" outlineLevel="0" r="36">
      <c r="A36" s="42" t="s">
        <v>44</v>
      </c>
      <c r="B36" s="48" t="n">
        <f aca="false">B35+(B29*(B12-B11))</f>
        <v>0.0376038033565615</v>
      </c>
      <c r="C36" s="47"/>
      <c r="D36" s="47"/>
      <c r="E36" s="45"/>
    </row>
    <row collapsed="false" customFormat="false" customHeight="false" hidden="false" ht="12.75" outlineLevel="0" r="37">
      <c r="A37" s="42"/>
      <c r="B37" s="48"/>
      <c r="C37" s="47"/>
      <c r="D37" s="47"/>
      <c r="E37" s="45"/>
    </row>
    <row collapsed="false" customFormat="false" customHeight="false" hidden="false" ht="12.75" outlineLevel="0" r="38">
      <c r="A38" s="42" t="s">
        <v>45</v>
      </c>
      <c r="B38" s="49" t="n">
        <f aca="false">B33/B31*1/B30*POWER(100,2)</f>
        <v>147.911187530542</v>
      </c>
      <c r="C38" s="49"/>
      <c r="D38" s="49"/>
      <c r="E38" s="45"/>
    </row>
    <row collapsed="false" customFormat="false" customHeight="false" hidden="false" ht="12.75" outlineLevel="0" r="39">
      <c r="A39" s="42" t="s">
        <v>46</v>
      </c>
      <c r="B39" s="49" t="n">
        <f aca="false">B33/B31*100+B33/B31*1/B30*100-B27*1/B30*100-100+B27*100</f>
        <v>11.9529572259131</v>
      </c>
      <c r="C39" s="49"/>
      <c r="D39" s="49"/>
      <c r="E39" s="45"/>
    </row>
    <row collapsed="false" customFormat="false" customHeight="false" hidden="false" ht="12.75" outlineLevel="0" r="40">
      <c r="A40" s="42" t="s">
        <v>47</v>
      </c>
      <c r="B40" s="49" t="n">
        <f aca="false">B33/B31-1</f>
        <v>-0.661283380555059</v>
      </c>
      <c r="C40" s="49"/>
      <c r="D40" s="49"/>
      <c r="E40" s="50"/>
    </row>
    <row collapsed="false" customFormat="false" customHeight="false" hidden="false" ht="12.75" outlineLevel="0" r="41">
      <c r="A41" s="42"/>
      <c r="B41" s="49"/>
      <c r="C41" s="49"/>
      <c r="D41" s="49"/>
      <c r="E41" s="50"/>
    </row>
    <row collapsed="false" customFormat="false" customHeight="false" hidden="false" ht="12.75" outlineLevel="0" r="42">
      <c r="A42" s="42" t="s">
        <v>48</v>
      </c>
      <c r="B42" s="51" t="n">
        <f aca="false">B34/B32*1/B30*POWER(B36,2)</f>
        <v>1.0252263780857E-005</v>
      </c>
      <c r="C42" s="51"/>
      <c r="D42" s="49"/>
      <c r="E42" s="50"/>
    </row>
    <row collapsed="false" customFormat="false" customHeight="false" hidden="false" ht="12.75" outlineLevel="0" r="43">
      <c r="A43" s="42" t="s">
        <v>49</v>
      </c>
      <c r="B43" s="49" t="n">
        <f aca="false">B34/B32*B36+B34/B32*1/B30*B36-B27*1/B30*B36-B36+B27*B36</f>
        <v>-0.00228239656361292</v>
      </c>
      <c r="C43" s="49"/>
      <c r="D43" s="49"/>
      <c r="E43" s="50"/>
    </row>
    <row collapsed="false" customFormat="false" customHeight="false" hidden="false" ht="12.75" outlineLevel="0" r="44">
      <c r="A44" s="42" t="s">
        <v>50</v>
      </c>
      <c r="B44" s="49" t="n">
        <f aca="false">B34/B32-1</f>
        <v>-0.833968034902074</v>
      </c>
      <c r="C44" s="49"/>
      <c r="D44" s="49"/>
      <c r="E44" s="50"/>
    </row>
    <row collapsed="false" customFormat="false" customHeight="false" hidden="false" ht="13.5" outlineLevel="0" r="45">
      <c r="A45" s="52" t="s">
        <v>51</v>
      </c>
      <c r="B45" s="53" t="n">
        <f aca="false">(B14-0.03)/1.805</f>
        <v>17.8227146814404</v>
      </c>
      <c r="C45" s="54"/>
      <c r="D45" s="54"/>
      <c r="E45" s="55"/>
    </row>
  </sheetData>
  <mergeCells count="3">
    <mergeCell ref="A3:E3"/>
    <mergeCell ref="A4:D4"/>
    <mergeCell ref="A16:D16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V83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M11" activeCellId="0" pane="topLeft" sqref="M11"/>
    </sheetView>
  </sheetViews>
  <sheetFormatPr defaultRowHeight="12.75"/>
  <cols>
    <col collapsed="false" hidden="false" max="2" min="2" style="0" width="15.984693877551"/>
    <col collapsed="false" hidden="false" max="4" min="4" style="0" width="19.1224489795918"/>
    <col collapsed="false" hidden="false" max="18" min="17" style="0" width="11.5561224489796"/>
  </cols>
  <sheetData>
    <row collapsed="false" customFormat="false" customHeight="false" hidden="false" ht="12.75" outlineLevel="0" r="1">
      <c r="A1" s="1" t="s">
        <v>0</v>
      </c>
      <c r="D1" s="2"/>
      <c r="E1" s="2" t="n">
        <v>39536</v>
      </c>
    </row>
    <row collapsed="false" customFormat="false" customHeight="false" hidden="false" ht="12.75" outlineLevel="0" r="2">
      <c r="A2" s="1" t="s">
        <v>1</v>
      </c>
      <c r="D2" s="2"/>
      <c r="E2" s="2"/>
    </row>
    <row collapsed="false" customFormat="false" customHeight="true" hidden="false" ht="20.25" outlineLevel="0" r="3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collapsed="false" customFormat="false" customHeight="true" hidden="false" ht="15.75" outlineLevel="0" r="4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</row>
    <row collapsed="false" customFormat="false" customHeight="false" hidden="false" ht="15.75" outlineLevel="0" r="5">
      <c r="A5" s="56"/>
      <c r="B5" s="56"/>
      <c r="C5" s="56"/>
      <c r="D5" s="57"/>
      <c r="E5" s="58"/>
      <c r="F5" s="58"/>
      <c r="I5" s="59"/>
    </row>
    <row collapsed="false" customFormat="false" customHeight="false" hidden="false" ht="16.5" outlineLevel="0" r="6">
      <c r="A6" s="60" t="s">
        <v>52</v>
      </c>
      <c r="D6" s="59"/>
      <c r="I6" s="59"/>
    </row>
    <row collapsed="false" customFormat="false" customHeight="false" hidden="false" ht="12.75" outlineLevel="0" r="7">
      <c r="A7" s="61" t="s">
        <v>53</v>
      </c>
      <c r="B7" s="0" t="n">
        <v>58.2</v>
      </c>
      <c r="C7" s="62" t="s">
        <v>54</v>
      </c>
      <c r="D7" s="63" t="s">
        <v>55</v>
      </c>
      <c r="E7" s="0" t="n">
        <v>17.6</v>
      </c>
      <c r="F7" s="64" t="s">
        <v>56</v>
      </c>
      <c r="G7" s="65"/>
      <c r="H7" s="65"/>
      <c r="I7" s="66"/>
      <c r="J7" s="65"/>
      <c r="K7" s="65"/>
      <c r="L7" s="65"/>
      <c r="M7" s="65"/>
      <c r="N7" s="65"/>
    </row>
    <row collapsed="false" customFormat="false" customHeight="false" hidden="false" ht="12.75" outlineLevel="0" r="8">
      <c r="A8" s="67" t="s">
        <v>57</v>
      </c>
      <c r="B8" s="0" t="n">
        <v>28.64</v>
      </c>
      <c r="C8" s="68" t="s">
        <v>54</v>
      </c>
      <c r="D8" s="69" t="s">
        <v>58</v>
      </c>
      <c r="E8" s="0" t="n">
        <v>17.7</v>
      </c>
      <c r="F8" s="70" t="s">
        <v>56</v>
      </c>
      <c r="G8" s="65"/>
      <c r="H8" s="65"/>
      <c r="I8" s="66"/>
      <c r="J8" s="65"/>
      <c r="K8" s="65"/>
      <c r="L8" s="65"/>
      <c r="M8" s="65"/>
      <c r="N8" s="65"/>
    </row>
    <row collapsed="false" customFormat="false" customHeight="false" hidden="false" ht="13.5" outlineLevel="0" r="9">
      <c r="A9" s="71" t="s">
        <v>59</v>
      </c>
      <c r="B9" s="72" t="n">
        <v>1013</v>
      </c>
      <c r="C9" s="73" t="s">
        <v>60</v>
      </c>
      <c r="D9" s="74"/>
      <c r="E9" s="75"/>
      <c r="F9" s="76"/>
      <c r="G9" s="65"/>
      <c r="H9" s="65"/>
      <c r="I9" s="66"/>
      <c r="J9" s="65"/>
      <c r="K9" s="65"/>
      <c r="L9" s="65"/>
      <c r="M9" s="65"/>
      <c r="N9" s="65"/>
    </row>
    <row collapsed="false" customFormat="false" customHeight="false" hidden="false" ht="14.25" outlineLevel="0" r="10">
      <c r="A10" s="77" t="s">
        <v>19</v>
      </c>
      <c r="B10" s="78" t="n">
        <v>32.2</v>
      </c>
      <c r="C10" s="77" t="s">
        <v>61</v>
      </c>
      <c r="D10" s="79"/>
      <c r="E10" s="77"/>
      <c r="F10" s="77"/>
      <c r="G10" s="65"/>
      <c r="H10" s="65"/>
      <c r="I10" s="66"/>
      <c r="J10" s="65"/>
      <c r="K10" s="65"/>
      <c r="L10" s="65"/>
      <c r="M10" s="65"/>
      <c r="N10" s="65"/>
    </row>
    <row collapsed="false" customFormat="false" customHeight="false" hidden="false" ht="12.75" outlineLevel="0" r="11">
      <c r="A11" s="80"/>
      <c r="B11" s="81"/>
      <c r="C11" s="80"/>
      <c r="D11" s="82"/>
      <c r="E11" s="80"/>
      <c r="F11" s="80"/>
      <c r="G11" s="83"/>
      <c r="H11" s="83"/>
      <c r="I11" s="84"/>
      <c r="J11" s="83"/>
      <c r="K11" s="83"/>
      <c r="L11" s="83"/>
      <c r="M11" s="83"/>
      <c r="N11" s="83"/>
    </row>
    <row collapsed="false" customFormat="false" customHeight="false" hidden="false" ht="16.5" outlineLevel="0" r="12">
      <c r="A12" s="85" t="s">
        <v>34</v>
      </c>
      <c r="D12" s="59"/>
      <c r="I12" s="59"/>
    </row>
    <row collapsed="false" customFormat="false" customHeight="false" hidden="false" ht="15" outlineLevel="0" r="13">
      <c r="A13" s="39" t="s">
        <v>35</v>
      </c>
      <c r="B13" s="43" t="n">
        <v>0.801</v>
      </c>
      <c r="C13" s="86" t="s">
        <v>39</v>
      </c>
      <c r="D13" s="87" t="n">
        <f aca="false">TAN((($B$7+$B$14*($E$8-$E$7)))*PI()/180)</f>
        <v>1.61233217673933</v>
      </c>
      <c r="E13" s="39" t="s">
        <v>45</v>
      </c>
      <c r="F13" s="88" t="n">
        <f aca="false">$D$15/$D$13*1/$B$16*POWER(100,2)</f>
        <v>147.911187530542</v>
      </c>
      <c r="G13" s="39" t="s">
        <v>43</v>
      </c>
      <c r="H13" s="88" t="n">
        <f aca="false">(-$F$14+(SQRT(POWER($F$14,2)-4*$F$13*$F$15)))/(2*$F$13)</f>
        <v>0.0377187033565615</v>
      </c>
      <c r="I13" s="89" t="s">
        <v>48</v>
      </c>
      <c r="J13" s="90" t="n">
        <f aca="false">$D$16/$D$14*1/$B$16*POWER($H$14,2)</f>
        <v>1.93862213193907E-005</v>
      </c>
    </row>
    <row collapsed="false" customFormat="false" customHeight="true" hidden="false" ht="15" outlineLevel="0" r="14">
      <c r="A14" s="46" t="s">
        <v>36</v>
      </c>
      <c r="B14" s="47" t="n">
        <v>-0.08</v>
      </c>
      <c r="C14" s="91" t="s">
        <v>40</v>
      </c>
      <c r="D14" s="92" t="n">
        <f aca="false">TAN(($B$7+($B$14*(G21-$E$7)))*PI()/180)</f>
        <v>1.61384099906959</v>
      </c>
      <c r="E14" s="42" t="s">
        <v>46</v>
      </c>
      <c r="F14" s="49" t="n">
        <f aca="false">$D$15/$D$13*100+$D$15/$D$13*1/$B$16*100-$B$13*1/$B$16*100-100+$B$13*100</f>
        <v>11.9529572259131</v>
      </c>
      <c r="G14" s="42" t="s">
        <v>44</v>
      </c>
      <c r="H14" s="48" t="n">
        <f aca="false">$H$13+($B$15*(G21-$E$8))</f>
        <v>0.0376038033565615</v>
      </c>
      <c r="I14" s="93" t="s">
        <v>49</v>
      </c>
      <c r="J14" s="50" t="n">
        <f aca="false">$D$16/$D$14*$H$14+$D$16/$D$14*1/$B$16*$H$14-$B$13*1/$B$16*$H$14-$H$14+$B$13*$H$14</f>
        <v>0.00352290943432047</v>
      </c>
      <c r="N14" s="94"/>
      <c r="O14" s="95"/>
      <c r="P14" s="96" t="s">
        <v>62</v>
      </c>
      <c r="Q14" s="96"/>
      <c r="R14" s="97"/>
    </row>
    <row collapsed="false" customFormat="false" customHeight="false" hidden="false" ht="26.25" outlineLevel="0" r="15">
      <c r="A15" s="46" t="s">
        <v>37</v>
      </c>
      <c r="B15" s="47" t="n">
        <v>0.000383</v>
      </c>
      <c r="C15" s="91" t="s">
        <v>41</v>
      </c>
      <c r="D15" s="92" t="n">
        <f aca="false">TAN($B$8*PI()/180)</f>
        <v>0.546123704327449</v>
      </c>
      <c r="E15" s="42" t="s">
        <v>47</v>
      </c>
      <c r="F15" s="49" t="n">
        <f aca="false">$D$15/$D$13-1</f>
        <v>-0.661283380555059</v>
      </c>
      <c r="G15" s="98"/>
      <c r="H15" s="49"/>
      <c r="I15" s="93" t="s">
        <v>50</v>
      </c>
      <c r="J15" s="50" t="n">
        <f aca="false">$D$16/$D$14-1</f>
        <v>-0.686046663421621</v>
      </c>
      <c r="N15" s="94"/>
      <c r="O15" s="94"/>
      <c r="P15" s="99" t="s">
        <v>63</v>
      </c>
      <c r="Q15" s="100" t="s">
        <v>64</v>
      </c>
      <c r="R15" s="101" t="s">
        <v>65</v>
      </c>
    </row>
    <row collapsed="false" customFormat="false" customHeight="false" hidden="false" ht="15" outlineLevel="0" r="16">
      <c r="A16" s="52" t="s">
        <v>38</v>
      </c>
      <c r="B16" s="47" t="n">
        <v>22.9</v>
      </c>
      <c r="C16" s="102" t="s">
        <v>42</v>
      </c>
      <c r="D16" s="103" t="n">
        <f aca="false">TAN(E21*PI()/180)</f>
        <v>0.506670766364882</v>
      </c>
      <c r="E16" s="104"/>
      <c r="F16" s="105"/>
      <c r="G16" s="104"/>
      <c r="H16" s="105"/>
      <c r="I16" s="106" t="s">
        <v>51</v>
      </c>
      <c r="J16" s="55" t="n">
        <f aca="false">(B10-0.03)/1.805</f>
        <v>17.8227146814404</v>
      </c>
      <c r="P16" s="107" t="n">
        <v>0.026</v>
      </c>
      <c r="Q16" s="108" t="n">
        <v>0.1365</v>
      </c>
      <c r="R16" s="109" t="n">
        <v>0.031623</v>
      </c>
      <c r="S16" s="110"/>
      <c r="T16" s="110"/>
      <c r="U16" s="110"/>
      <c r="V16" s="110"/>
    </row>
    <row collapsed="false" customFormat="false" customHeight="false" hidden="false" ht="12.75" outlineLevel="0" r="17">
      <c r="A17" s="80"/>
      <c r="B17" s="1"/>
      <c r="C17" s="111"/>
      <c r="D17" s="112"/>
      <c r="E17" s="94"/>
      <c r="F17" s="94"/>
      <c r="G17" s="94"/>
      <c r="H17" s="94"/>
      <c r="I17" s="113"/>
      <c r="J17" s="94"/>
      <c r="K17" s="114"/>
      <c r="L17" s="114"/>
      <c r="M17" s="114"/>
      <c r="N17" s="114"/>
      <c r="P17" s="58"/>
      <c r="Q17" s="58"/>
      <c r="R17" s="58"/>
      <c r="S17" s="110"/>
      <c r="T17" s="110"/>
      <c r="U17" s="110"/>
      <c r="V17" s="110"/>
    </row>
    <row collapsed="false" customFormat="false" customHeight="false" hidden="false" ht="12.75" outlineLevel="0" r="18">
      <c r="A18" s="80" t="s">
        <v>66</v>
      </c>
      <c r="B18" s="1"/>
      <c r="C18" s="111"/>
      <c r="D18" s="112"/>
      <c r="E18" s="94"/>
      <c r="F18" s="94"/>
      <c r="G18" s="94"/>
      <c r="H18" s="94"/>
      <c r="I18" s="82" t="s">
        <v>67</v>
      </c>
      <c r="J18" s="94"/>
      <c r="K18" s="114"/>
      <c r="L18" s="114"/>
      <c r="M18" s="114"/>
      <c r="N18" s="114"/>
      <c r="P18" s="58"/>
      <c r="Q18" s="58"/>
      <c r="R18" s="58"/>
      <c r="S18" s="110"/>
      <c r="T18" s="110"/>
      <c r="U18" s="110"/>
      <c r="V18" s="110"/>
    </row>
    <row collapsed="false" customFormat="false" customHeight="false" hidden="false" ht="13.5" outlineLevel="0" r="19">
      <c r="D19" s="59"/>
      <c r="I19" s="59"/>
      <c r="P19" s="58"/>
      <c r="Q19" s="115"/>
      <c r="R19" s="58"/>
      <c r="S19" s="110"/>
      <c r="T19" s="110"/>
      <c r="U19" s="110"/>
      <c r="V19" s="110"/>
    </row>
    <row collapsed="false" customFormat="false" customHeight="false" hidden="false" ht="27.75" outlineLevel="0" r="20">
      <c r="A20" s="65" t="s">
        <v>68</v>
      </c>
      <c r="B20" s="65" t="s">
        <v>69</v>
      </c>
      <c r="C20" s="65" t="s">
        <v>70</v>
      </c>
      <c r="D20" s="66" t="s">
        <v>71</v>
      </c>
      <c r="E20" s="65" t="s">
        <v>72</v>
      </c>
      <c r="F20" s="65" t="s">
        <v>73</v>
      </c>
      <c r="G20" s="65" t="s">
        <v>74</v>
      </c>
      <c r="I20" s="84" t="s">
        <v>75</v>
      </c>
      <c r="J20" s="83" t="s">
        <v>76</v>
      </c>
      <c r="K20" s="83" t="s">
        <v>77</v>
      </c>
      <c r="L20" s="83" t="s">
        <v>78</v>
      </c>
      <c r="M20" s="116" t="s">
        <v>79</v>
      </c>
      <c r="N20" s="111" t="s">
        <v>80</v>
      </c>
      <c r="P20" s="117" t="s">
        <v>81</v>
      </c>
      <c r="Q20" s="118" t="s">
        <v>82</v>
      </c>
      <c r="R20" s="118" t="s">
        <v>83</v>
      </c>
      <c r="S20" s="118" t="s">
        <v>84</v>
      </c>
      <c r="T20" s="119" t="s">
        <v>85</v>
      </c>
      <c r="U20" s="95"/>
      <c r="V20" s="95"/>
    </row>
    <row collapsed="false" customFormat="false" customHeight="false" hidden="false" ht="13.5" outlineLevel="0" r="21">
      <c r="A21" s="120" t="n">
        <v>40402</v>
      </c>
      <c r="B21" s="0" t="s">
        <v>86</v>
      </c>
      <c r="C21" s="0" t="n">
        <v>0</v>
      </c>
      <c r="D21" s="0" t="n">
        <v>354.676</v>
      </c>
      <c r="E21" s="0" t="n">
        <v>26.87</v>
      </c>
      <c r="F21" s="0" t="n">
        <v>2712</v>
      </c>
      <c r="G21" s="0" t="n">
        <v>17.4</v>
      </c>
      <c r="I21" s="121" t="n">
        <f aca="false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WURZEL((POTENZ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TENZ(($H$13+($B$15*(G21-$E$8))),2))*((TAN(E21*PI()/180))/(TAN(($B$7+($B$14*(G21-$E$7)))*PI()/180))-1))))/(2*((TAN(E21*PI()/180))/(TAN(($B$7+($B$14*(G21-$E$7)))*PI()/180))*1/$B$16*POTENZ(($H$13+($B$15*(G21-$E$8))),2)))</f>
        <v>118.050574465124</v>
      </c>
      <c r="J21" s="122" t="n">
        <f aca="false">I21*20.9/100</f>
        <v>24.672570063211</v>
      </c>
      <c r="K21" s="82" t="n">
        <f aca="false">($B$9-EXP(52.57-6690.9/(273.15+G21)-4.681*LN(273.15+G21)))*I21/100*0.2095</f>
        <v>245.603052017551</v>
      </c>
      <c r="L21" s="82" t="n">
        <f aca="false">K21/1.33322</f>
        <v>184.217947538704</v>
      </c>
      <c r="M21" s="121" t="n">
        <f aca="false">(($B$9-EXP(52.57-6690.9/(273.15+G21)-4.681*LN(273.15+G21)))/1013)*I21/100*0.2095*((49-1.335*G21+0.02759*POWER(G21,2)-0.0003235*POWER(G21,3)+0.000001614*POWER(G21,4))-($J$16*(5.516*10^-1-1.759*10^-2*G21+2.253*10^-4*POWER(G21,2)-2.654*10^-7*POWER(G21,3)+5.363*10^-8*POWER(G21,4))))*32/22.414</f>
        <v>9.31586766743886</v>
      </c>
      <c r="N21" s="121" t="n">
        <f aca="false">M21*31.25</f>
        <v>291.120864607464</v>
      </c>
      <c r="O21" s="94"/>
      <c r="P21" s="123" t="n">
        <f aca="false">Q45</f>
        <v>4.45800000000003</v>
      </c>
      <c r="Q21" s="124" t="n">
        <f aca="false">P21*(6)</f>
        <v>26.7480000000002</v>
      </c>
      <c r="R21" s="125" t="n">
        <f aca="false">((Q21/1000)*(P16*1000))</f>
        <v>0.695448000000004</v>
      </c>
      <c r="S21" s="126" t="n">
        <f aca="false">R21/Q16</f>
        <v>5.09485714285717</v>
      </c>
      <c r="T21" s="127" t="n">
        <f aca="false">R21/R16</f>
        <v>21.9918413812733</v>
      </c>
      <c r="U21" s="128"/>
      <c r="V21" s="128"/>
    </row>
    <row collapsed="false" customFormat="false" customHeight="true" hidden="false" ht="12.75" outlineLevel="0" r="22">
      <c r="A22" s="120" t="n">
        <v>40402</v>
      </c>
      <c r="B22" s="0" t="s">
        <v>87</v>
      </c>
      <c r="C22" s="0" t="n">
        <v>0.201</v>
      </c>
      <c r="D22" s="0" t="n">
        <v>349.485</v>
      </c>
      <c r="E22" s="0" t="n">
        <v>27.03</v>
      </c>
      <c r="F22" s="0" t="n">
        <v>2679</v>
      </c>
      <c r="G22" s="0" t="n">
        <v>17.4</v>
      </c>
      <c r="I22" s="121" t="n">
        <f aca="false">(-((TAN(E22*PI()/180))/(TAN(($B$7+($B$14*(G22-$E$7)))*PI()/180))*($H$13+($B$15*(G22-$E$8)))+(TAN(E22*PI()/180))/(TAN(($B$7+($B$14*(G22-$E$7)))*PI()/180))*1/$B$16*($H$13+($B$15*(G22-$E$8)))-$B$13*1/$B$16*($H$13+($B$15*(G22-$E$8)))-($H$13+($B$15*(G22-$E$8)))+$B$13*($H$13+($B$15*(G22-$E$8))))+(WURZEL((POTENZ(((TAN(E22*PI()/180))/(TAN(($B$7+($B$14*(G22-$E$7)))*PI()/180))*($H$13+($B$15*(G22-$E$8)))+(TAN(E22*PI()/180))/(TAN(($B$7+($B$14*(G22-$E$7)))*PI()/180))*1/$B$16*($H$13+($B$15*(G22-$E$8)))-$B$13*1/$B$16*($H$13+($B$15*(G22-$E$8)))-($H$13+($B$15*(G22-$E$8)))+$B$13*($H$13+($B$15*(G22-$E$8)))),2))-4*((TAN(E22*PI()/180))/(TAN(($B$7+($B$14*(G22-$E$7)))*PI()/180))*1/$B$16*POTENZ(($H$13+($B$15*(G22-$E$8))),2))*((TAN(E22*PI()/180))/(TAN(($B$7+($B$14*(G22-$E$7)))*PI()/180))-1))))/(2*((TAN(E22*PI()/180))/(TAN(($B$7+($B$14*(G22-$E$7)))*PI()/180))*1/$B$16*POTENZ(($H$13+($B$15*(G22-$E$8))),2)))</f>
        <v>116.32262482648</v>
      </c>
      <c r="J22" s="122" t="n">
        <f aca="false">I22*20.9/100</f>
        <v>24.3114285887344</v>
      </c>
      <c r="K22" s="82" t="n">
        <f aca="false">($B$9-EXP(52.57-6690.9/(273.15+G22)-4.681*LN(273.15+G22)))*I22/100*0.2095</f>
        <v>242.008069893097</v>
      </c>
      <c r="L22" s="82" t="n">
        <f aca="false">K22/1.33322</f>
        <v>181.521481745771</v>
      </c>
      <c r="M22" s="121" t="n">
        <f aca="false">(($B$9-EXP(52.57-6690.9/(273.15+G22)-4.681*LN(273.15+G22)))/1013)*I22/100*0.2095*((49-1.335*G22+0.02759*POTENZ(G22,2)-0.0003235*POTENZ(G22,3)+0.000001614*POTENZ(G22,4))-($J$16*(5.516*10^-1-1.759*10^-2*G22+2.253*10^-4*POTENZ(G22,2)-2.654*10^-7*POTENZ(G22,3)+5.363*10^-8*POTENZ(G22,4))))*32/22.414</f>
        <v>9.17950788907658</v>
      </c>
      <c r="N22" s="121" t="n">
        <f aca="false">M22*31.25</f>
        <v>286.859621533643</v>
      </c>
      <c r="P22" s="129" t="s">
        <v>88</v>
      </c>
      <c r="Q22" s="129"/>
      <c r="R22" s="129"/>
      <c r="S22" s="129"/>
      <c r="U22" s="110"/>
      <c r="V22" s="110"/>
    </row>
    <row collapsed="false" customFormat="false" customHeight="false" hidden="false" ht="12.75" outlineLevel="0" r="23">
      <c r="A23" s="120" t="n">
        <v>40402</v>
      </c>
      <c r="B23" s="0" t="s">
        <v>89</v>
      </c>
      <c r="C23" s="0" t="n">
        <v>0.368</v>
      </c>
      <c r="D23" s="0" t="n">
        <v>355.989</v>
      </c>
      <c r="E23" s="0" t="n">
        <v>26.83</v>
      </c>
      <c r="F23" s="0" t="n">
        <v>2672</v>
      </c>
      <c r="G23" s="0" t="n">
        <v>17.4</v>
      </c>
      <c r="I23" s="121" t="n">
        <f aca="false">(-((TAN(E23*PI()/180))/(TAN(($B$7+($B$14*(G23-$E$7)))*PI()/180))*($H$13+($B$15*(G23-$E$8)))+(TAN(E23*PI()/180))/(TAN(($B$7+($B$14*(G23-$E$7)))*PI()/180))*1/$B$16*($H$13+($B$15*(G23-$E$8)))-$B$13*1/$B$16*($H$13+($B$15*(G23-$E$8)))-($H$13+($B$15*(G23-$E$8)))+$B$13*($H$13+($B$15*(G23-$E$8))))+(WURZEL((POTENZ(((TAN(E23*PI()/180))/(TAN(($B$7+($B$14*(G23-$E$7)))*PI()/180))*($H$13+($B$15*(G23-$E$8)))+(TAN(E23*PI()/180))/(TAN(($B$7+($B$14*(G23-$E$7)))*PI()/180))*1/$B$16*($H$13+($B$15*(G23-$E$8)))-$B$13*1/$B$16*($H$13+($B$15*(G23-$E$8)))-($H$13+($B$15*(G23-$E$8)))+$B$13*($H$13+($B$15*(G23-$E$8)))),2))-4*((TAN(E23*PI()/180))/(TAN(($B$7+($B$14*(G23-$E$7)))*PI()/180))*1/$B$16*POTENZ(($H$13+($B$15*(G23-$E$8))),2))*((TAN(E23*PI()/180))/(TAN(($B$7+($B$14*(G23-$E$7)))*PI()/180))-1))))/(2*((TAN(E23*PI()/180))/(TAN(($B$7+($B$14*(G23-$E$7)))*PI()/180))*1/$B$16*POTENZ(($H$13+($B$15*(G23-$E$8))),2)))</f>
        <v>118.487362911563</v>
      </c>
      <c r="J23" s="122" t="n">
        <f aca="false">I23*20.9/100</f>
        <v>24.7638588485167</v>
      </c>
      <c r="K23" s="82" t="n">
        <f aca="false">($B$9-EXP(52.57-6690.9/(273.15+G23)-4.681*LN(273.15+G23)))*I23/100*0.2095</f>
        <v>246.511786058172</v>
      </c>
      <c r="L23" s="82" t="n">
        <f aca="false">K23/1.33322</f>
        <v>184.89955600589</v>
      </c>
      <c r="M23" s="121" t="n">
        <f aca="false">(($B$9-EXP(52.57-6690.9/(273.15+G23)-4.681*LN(273.15+G23)))/1013)*I23/100*0.2095*((49-1.335*G23+0.02759*POTENZ(G23,2)-0.0003235*POTENZ(G23,3)+0.000001614*POTENZ(G23,4))-($J$16*(5.516*10^-1-1.759*10^-2*G23+2.253*10^-4*POTENZ(G23,2)-2.654*10^-7*POTENZ(G23,3)+5.363*10^-8*POTENZ(G23,4))))*32/22.414</f>
        <v>9.35033648204759</v>
      </c>
      <c r="N23" s="121" t="n">
        <f aca="false">M23*31.25</f>
        <v>292.198015063987</v>
      </c>
      <c r="P23" s="58"/>
      <c r="Q23" s="58"/>
      <c r="R23" s="58"/>
      <c r="U23" s="110"/>
      <c r="V23" s="110"/>
    </row>
    <row collapsed="false" customFormat="false" customHeight="false" hidden="false" ht="12.75" outlineLevel="0" r="24">
      <c r="A24" s="120" t="n">
        <v>40402</v>
      </c>
      <c r="B24" s="0" t="s">
        <v>90</v>
      </c>
      <c r="C24" s="0" t="n">
        <v>0.535</v>
      </c>
      <c r="D24" s="0" t="n">
        <v>353.044</v>
      </c>
      <c r="E24" s="0" t="n">
        <v>26.92</v>
      </c>
      <c r="F24" s="0" t="n">
        <v>2672</v>
      </c>
      <c r="G24" s="0" t="n">
        <v>17.4</v>
      </c>
      <c r="I24" s="121" t="n">
        <f aca="false">(-((TAN(E24*PI()/180))/(TAN(($B$7+($B$14*(G24-$E$7)))*PI()/180))*($H$13+($B$15*(G24-$E$8)))+(TAN(E24*PI()/180))/(TAN(($B$7+($B$14*(G24-$E$7)))*PI()/180))*1/$B$16*($H$13+($B$15*(G24-$E$8)))-$B$13*1/$B$16*($H$13+($B$15*(G24-$E$8)))-($H$13+($B$15*(G24-$E$8)))+$B$13*($H$13+($B$15*(G24-$E$8))))+(WURZEL((POTENZ(((TAN(E24*PI()/180))/(TAN(($B$7+($B$14*(G24-$E$7)))*PI()/180))*($H$13+($B$15*(G24-$E$8)))+(TAN(E24*PI()/180))/(TAN(($B$7+($B$14*(G24-$E$7)))*PI()/180))*1/$B$16*($H$13+($B$15*(G24-$E$8)))-$B$13*1/$B$16*($H$13+($B$15*(G24-$E$8)))-($H$13+($B$15*(G24-$E$8)))+$B$13*($H$13+($B$15*(G24-$E$8)))),2))-4*((TAN(E24*PI()/180))/(TAN(($B$7+($B$14*(G24-$E$7)))*PI()/180))*1/$B$16*POTENZ(($H$13+($B$15*(G24-$E$8))),2))*((TAN(E24*PI()/180))/(TAN(($B$7+($B$14*(G24-$E$7)))*PI()/180))-1))))/(2*((TAN(E24*PI()/180))/(TAN(($B$7+($B$14*(G24-$E$7)))*PI()/180))*1/$B$16*POTENZ(($H$13+($B$15*(G24-$E$8))),2)))</f>
        <v>117.507303545314</v>
      </c>
      <c r="J24" s="122" t="n">
        <f aca="false">I24*20.9/100</f>
        <v>24.5590264409706</v>
      </c>
      <c r="K24" s="82" t="n">
        <f aca="false">($B$9-EXP(52.57-6690.9/(273.15+G24)-4.681*LN(273.15+G24)))*I24/100*0.2095</f>
        <v>244.472782244766</v>
      </c>
      <c r="L24" s="82" t="n">
        <f aca="false">K24/1.33322</f>
        <v>183.370173148292</v>
      </c>
      <c r="M24" s="121" t="n">
        <f aca="false">(($B$9-EXP(52.57-6690.9/(273.15+G24)-4.681*LN(273.15+G24)))/1013)*I24/100*0.2095*((49-1.335*G24+0.02759*POTENZ(G24,2)-0.0003235*POTENZ(G24,3)+0.000001614*POTENZ(G24,4))-($J$16*(5.516*10^-1-1.759*10^-2*G24+2.253*10^-4*POTENZ(G24,2)-2.654*10^-7*POTENZ(G24,3)+5.363*10^-8*POTENZ(G24,4))))*32/22.414</f>
        <v>9.27299587270639</v>
      </c>
      <c r="N24" s="121" t="n">
        <f aca="false">M24*31.25</f>
        <v>289.781121022075</v>
      </c>
      <c r="P24" s="58"/>
      <c r="Q24" s="58"/>
      <c r="R24" s="58"/>
    </row>
    <row collapsed="false" customFormat="false" customHeight="false" hidden="false" ht="12.75" outlineLevel="0" r="25">
      <c r="A25" s="120" t="n">
        <v>40402</v>
      </c>
      <c r="B25" s="0" t="s">
        <v>91</v>
      </c>
      <c r="C25" s="0" t="n">
        <v>0.702</v>
      </c>
      <c r="D25" s="0" t="n">
        <v>355.989</v>
      </c>
      <c r="E25" s="0" t="n">
        <v>26.83</v>
      </c>
      <c r="F25" s="0" t="n">
        <v>2670</v>
      </c>
      <c r="G25" s="0" t="n">
        <v>17.4</v>
      </c>
      <c r="I25" s="121" t="n">
        <f aca="false">(-((TAN(E25*PI()/180))/(TAN(($B$7+($B$14*(G25-$E$7)))*PI()/180))*($H$13+($B$15*(G25-$E$8)))+(TAN(E25*PI()/180))/(TAN(($B$7+($B$14*(G25-$E$7)))*PI()/180))*1/$B$16*($H$13+($B$15*(G25-$E$8)))-$B$13*1/$B$16*($H$13+($B$15*(G25-$E$8)))-($H$13+($B$15*(G25-$E$8)))+$B$13*($H$13+($B$15*(G25-$E$8))))+(WURZEL((POTENZ(((TAN(E25*PI()/180))/(TAN(($B$7+($B$14*(G25-$E$7)))*PI()/180))*($H$13+($B$15*(G25-$E$8)))+(TAN(E25*PI()/180))/(TAN(($B$7+($B$14*(G25-$E$7)))*PI()/180))*1/$B$16*($H$13+($B$15*(G25-$E$8)))-$B$13*1/$B$16*($H$13+($B$15*(G25-$E$8)))-($H$13+($B$15*(G25-$E$8)))+$B$13*($H$13+($B$15*(G25-$E$8)))),2))-4*((TAN(E25*PI()/180))/(TAN(($B$7+($B$14*(G25-$E$7)))*PI()/180))*1/$B$16*POTENZ(($H$13+($B$15*(G25-$E$8))),2))*((TAN(E25*PI()/180))/(TAN(($B$7+($B$14*(G25-$E$7)))*PI()/180))-1))))/(2*((TAN(E25*PI()/180))/(TAN(($B$7+($B$14*(G25-$E$7)))*PI()/180))*1/$B$16*POTENZ(($H$13+($B$15*(G25-$E$8))),2)))</f>
        <v>118.487362911563</v>
      </c>
      <c r="J25" s="122" t="n">
        <f aca="false">I25*20.9/100</f>
        <v>24.7638588485167</v>
      </c>
      <c r="K25" s="82" t="n">
        <f aca="false">($B$9-EXP(52.57-6690.9/(273.15+G25)-4.681*LN(273.15+G25)))*I25/100*0.2095</f>
        <v>246.511786058172</v>
      </c>
      <c r="L25" s="82" t="n">
        <f aca="false">K25/1.33322</f>
        <v>184.89955600589</v>
      </c>
      <c r="M25" s="121" t="n">
        <f aca="false">(($B$9-EXP(52.57-6690.9/(273.15+G25)-4.681*LN(273.15+G25)))/1013)*I25/100*0.2095*((49-1.335*G25+0.02759*POTENZ(G25,2)-0.0003235*POTENZ(G25,3)+0.000001614*POTENZ(G25,4))-($J$16*(5.516*10^-1-1.759*10^-2*G25+2.253*10^-4*POTENZ(G25,2)-2.654*10^-7*POTENZ(G25,3)+5.363*10^-8*POTENZ(G25,4))))*32/22.414</f>
        <v>9.35033648204759</v>
      </c>
      <c r="N25" s="121" t="n">
        <f aca="false">M25*31.25</f>
        <v>292.198015063987</v>
      </c>
      <c r="P25" s="58"/>
      <c r="Q25" s="58"/>
      <c r="R25" s="58"/>
    </row>
    <row collapsed="false" customFormat="false" customHeight="false" hidden="false" ht="12.75" outlineLevel="0" r="26">
      <c r="A26" s="120" t="n">
        <v>40402</v>
      </c>
      <c r="B26" s="0" t="s">
        <v>92</v>
      </c>
      <c r="C26" s="0" t="n">
        <v>0.869</v>
      </c>
      <c r="D26" s="0" t="n">
        <v>347.881</v>
      </c>
      <c r="E26" s="0" t="n">
        <v>27.08</v>
      </c>
      <c r="F26" s="0" t="n">
        <v>2669</v>
      </c>
      <c r="G26" s="0" t="n">
        <v>17.4</v>
      </c>
      <c r="I26" s="121" t="n">
        <f aca="false">(-((TAN(E26*PI()/180))/(TAN(($B$7+($B$14*(G26-$E$7)))*PI()/180))*($H$13+($B$15*(G26-$E$8)))+(TAN(E26*PI()/180))/(TAN(($B$7+($B$14*(G26-$E$7)))*PI()/180))*1/$B$16*($H$13+($B$15*(G26-$E$8)))-$B$13*1/$B$16*($H$13+($B$15*(G26-$E$8)))-($H$13+($B$15*(G26-$E$8)))+$B$13*($H$13+($B$15*(G26-$E$8))))+(WURZEL((POTENZ(((TAN(E26*PI()/180))/(TAN(($B$7+($B$14*(G26-$E$7)))*PI()/180))*($H$13+($B$15*(G26-$E$8)))+(TAN(E26*PI()/180))/(TAN(($B$7+($B$14*(G26-$E$7)))*PI()/180))*1/$B$16*($H$13+($B$15*(G26-$E$8)))-$B$13*1/$B$16*($H$13+($B$15*(G26-$E$8)))-($H$13+($B$15*(G26-$E$8)))+$B$13*($H$13+($B$15*(G26-$E$8)))),2))-4*((TAN(E26*PI()/180))/(TAN(($B$7+($B$14*(G26-$E$7)))*PI()/180))*1/$B$16*POTENZ(($H$13+($B$15*(G26-$E$8))),2))*((TAN(E26*PI()/180))/(TAN(($B$7+($B$14*(G26-$E$7)))*PI()/180))-1))))/(2*((TAN(E26*PI()/180))/(TAN(($B$7+($B$14*(G26-$E$7)))*PI()/180))*1/$B$16*POTENZ(($H$13+($B$15*(G26-$E$8))),2)))</f>
        <v>115.788867863825</v>
      </c>
      <c r="J26" s="122" t="n">
        <f aca="false">I26*20.9/100</f>
        <v>24.1998733835394</v>
      </c>
      <c r="K26" s="82" t="n">
        <f aca="false">($B$9-EXP(52.57-6690.9/(273.15+G26)-4.681*LN(273.15+G26)))*I26/100*0.2095</f>
        <v>240.897593814029</v>
      </c>
      <c r="L26" s="82" t="n">
        <f aca="false">K26/1.33322</f>
        <v>180.688553887602</v>
      </c>
      <c r="M26" s="121" t="n">
        <f aca="false">(($B$9-EXP(52.57-6690.9/(273.15+G26)-4.681*LN(273.15+G26)))/1013)*I26/100*0.2095*((49-1.335*G26+0.02759*POTENZ(G26,2)-0.0003235*POTENZ(G26,3)+0.000001614*POTENZ(G26,4))-($J$16*(5.516*10^-1-1.759*10^-2*G26+2.253*10^-4*POTENZ(G26,2)-2.654*10^-7*POTENZ(G26,3)+5.363*10^-8*POTENZ(G26,4))))*32/22.414</f>
        <v>9.13738688074434</v>
      </c>
      <c r="N26" s="121" t="n">
        <f aca="false">M26*31.25</f>
        <v>285.543340023261</v>
      </c>
      <c r="P26" s="58"/>
      <c r="Q26" s="58"/>
      <c r="R26" s="58"/>
    </row>
    <row collapsed="false" customFormat="false" customHeight="false" hidden="false" ht="12.75" outlineLevel="0" r="27">
      <c r="A27" s="120" t="n">
        <v>40402</v>
      </c>
      <c r="B27" s="0" t="s">
        <v>93</v>
      </c>
      <c r="C27" s="0" t="n">
        <v>1.036</v>
      </c>
      <c r="D27" s="0" t="n">
        <v>352.719</v>
      </c>
      <c r="E27" s="0" t="n">
        <v>26.93</v>
      </c>
      <c r="F27" s="0" t="n">
        <v>2668</v>
      </c>
      <c r="G27" s="0" t="n">
        <v>17.4</v>
      </c>
      <c r="I27" s="121" t="n">
        <f aca="false">(-((TAN(E27*PI()/180))/(TAN(($B$7+($B$14*(G27-$E$7)))*PI()/180))*($H$13+($B$15*(G27-$E$8)))+(TAN(E27*PI()/180))/(TAN(($B$7+($B$14*(G27-$E$7)))*PI()/180))*1/$B$16*($H$13+($B$15*(G27-$E$8)))-$B$13*1/$B$16*($H$13+($B$15*(G27-$E$8)))-($H$13+($B$15*(G27-$E$8)))+$B$13*($H$13+($B$15*(G27-$E$8))))+(WURZEL((POTENZ(((TAN(E27*PI()/180))/(TAN(($B$7+($B$14*(G27-$E$7)))*PI()/180))*($H$13+($B$15*(G27-$E$8)))+(TAN(E27*PI()/180))/(TAN(($B$7+($B$14*(G27-$E$7)))*PI()/180))*1/$B$16*($H$13+($B$15*(G27-$E$8)))-$B$13*1/$B$16*($H$13+($B$15*(G27-$E$8)))-($H$13+($B$15*(G27-$E$8)))+$B$13*($H$13+($B$15*(G27-$E$8)))),2))-4*((TAN(E27*PI()/180))/(TAN(($B$7+($B$14*(G27-$E$7)))*PI()/180))*1/$B$16*POTENZ(($H$13+($B$15*(G27-$E$8))),2))*((TAN(E27*PI()/180))/(TAN(($B$7+($B$14*(G27-$E$7)))*PI()/180))-1))))/(2*((TAN(E27*PI()/180))/(TAN(($B$7+($B$14*(G27-$E$7)))*PI()/180))*1/$B$16*POTENZ(($H$13+($B$15*(G27-$E$8))),2)))</f>
        <v>117.399009602683</v>
      </c>
      <c r="J27" s="122" t="n">
        <f aca="false">I27*20.9/100</f>
        <v>24.5363930069608</v>
      </c>
      <c r="K27" s="82" t="n">
        <f aca="false">($B$9-EXP(52.57-6690.9/(273.15+G27)-4.681*LN(273.15+G27)))*I27/100*0.2095</f>
        <v>244.247477768735</v>
      </c>
      <c r="L27" s="82" t="n">
        <f aca="false">K27/1.33322</f>
        <v>183.201180426887</v>
      </c>
      <c r="M27" s="121" t="n">
        <f aca="false">(($B$9-EXP(52.57-6690.9/(273.15+G27)-4.681*LN(273.15+G27)))/1013)*I27/100*0.2095*((49-1.335*G27+0.02759*POTENZ(G27,2)-0.0003235*POTENZ(G27,3)+0.000001614*POTENZ(G27,4))-($J$16*(5.516*10^-1-1.759*10^-2*G27+2.253*10^-4*POTENZ(G27,2)-2.654*10^-7*POTENZ(G27,3)+5.363*10^-8*POTENZ(G27,4))))*32/22.414</f>
        <v>9.26444994191949</v>
      </c>
      <c r="N27" s="121" t="n">
        <f aca="false">M27*31.25</f>
        <v>289.514060684984</v>
      </c>
      <c r="P27" s="58"/>
      <c r="Q27" s="58"/>
      <c r="R27" s="58"/>
    </row>
    <row collapsed="false" customFormat="false" customHeight="false" hidden="false" ht="12.75" outlineLevel="0" r="28">
      <c r="A28" s="120" t="n">
        <v>40402</v>
      </c>
      <c r="B28" s="0" t="s">
        <v>94</v>
      </c>
      <c r="C28" s="0" t="n">
        <v>1.203</v>
      </c>
      <c r="D28" s="0" t="n">
        <v>358.299</v>
      </c>
      <c r="E28" s="0" t="n">
        <v>26.76</v>
      </c>
      <c r="F28" s="0" t="n">
        <v>2664</v>
      </c>
      <c r="G28" s="0" t="n">
        <v>17.4</v>
      </c>
      <c r="I28" s="121" t="n">
        <f aca="false">(-((TAN(E28*PI()/180))/(TAN(($B$7+($B$14*(G28-$E$7)))*PI()/180))*($H$13+($B$15*(G28-$E$8)))+(TAN(E28*PI()/180))/(TAN(($B$7+($B$14*(G28-$E$7)))*PI()/180))*1/$B$16*($H$13+($B$15*(G28-$E$8)))-$B$13*1/$B$16*($H$13+($B$15*(G28-$E$8)))-($H$13+($B$15*(G28-$E$8)))+$B$13*($H$13+($B$15*(G28-$E$8))))+(WURZEL((POTENZ(((TAN(E28*PI()/180))/(TAN(($B$7+($B$14*(G28-$E$7)))*PI()/180))*($H$13+($B$15*(G28-$E$8)))+(TAN(E28*PI()/180))/(TAN(($B$7+($B$14*(G28-$E$7)))*PI()/180))*1/$B$16*($H$13+($B$15*(G28-$E$8)))-$B$13*1/$B$16*($H$13+($B$15*(G28-$E$8)))-($H$13+($B$15*(G28-$E$8)))+$B$13*($H$13+($B$15*(G28-$E$8)))),2))-4*((TAN(E28*PI()/180))/(TAN(($B$7+($B$14*(G28-$E$7)))*PI()/180))*1/$B$16*POTENZ(($H$13+($B$15*(G28-$E$8))),2))*((TAN(E28*PI()/180))/(TAN(($B$7+($B$14*(G28-$E$7)))*PI()/180))-1))))/(2*((TAN(E28*PI()/180))/(TAN(($B$7+($B$14*(G28-$E$7)))*PI()/180))*1/$B$16*POTENZ(($H$13+($B$15*(G28-$E$8))),2)))</f>
        <v>119.256423100619</v>
      </c>
      <c r="J28" s="122" t="n">
        <f aca="false">I28*20.9/100</f>
        <v>24.9245924280294</v>
      </c>
      <c r="K28" s="82" t="n">
        <f aca="false">($B$9-EXP(52.57-6690.9/(273.15+G28)-4.681*LN(273.15+G28)))*I28/100*0.2095</f>
        <v>248.111808171349</v>
      </c>
      <c r="L28" s="82" t="n">
        <f aca="false">K28/1.33322</f>
        <v>186.099674600853</v>
      </c>
      <c r="M28" s="121" t="n">
        <f aca="false">(($B$9-EXP(52.57-6690.9/(273.15+G28)-4.681*LN(273.15+G28)))/1013)*I28/100*0.2095*((49-1.335*G28+0.02759*POTENZ(G28,2)-0.0003235*POTENZ(G28,3)+0.000001614*POTENZ(G28,4))-($J$16*(5.516*10^-1-1.759*10^-2*G28+2.253*10^-4*POTENZ(G28,2)-2.654*10^-7*POTENZ(G28,3)+5.363*10^-8*POTENZ(G28,4))))*32/22.414</f>
        <v>9.41102625828971</v>
      </c>
      <c r="N28" s="121" t="n">
        <f aca="false">M28*31.25</f>
        <v>294.094570571554</v>
      </c>
      <c r="P28" s="58"/>
      <c r="Q28" s="58"/>
      <c r="R28" s="58"/>
    </row>
    <row collapsed="false" customFormat="false" customHeight="false" hidden="false" ht="12.75" outlineLevel="0" r="29">
      <c r="A29" s="120" t="n">
        <v>40402</v>
      </c>
      <c r="B29" s="0" t="s">
        <v>95</v>
      </c>
      <c r="C29" s="0" t="n">
        <v>1.37</v>
      </c>
      <c r="D29" s="0" t="n">
        <v>354.349</v>
      </c>
      <c r="E29" s="0" t="n">
        <v>26.88</v>
      </c>
      <c r="F29" s="0" t="n">
        <v>2669</v>
      </c>
      <c r="G29" s="0" t="n">
        <v>17.4</v>
      </c>
      <c r="I29" s="121" t="n">
        <f aca="false">(-((TAN(E29*PI()/180))/(TAN(($B$7+($B$14*(G29-$E$7)))*PI()/180))*($H$13+($B$15*(G29-$E$8)))+(TAN(E29*PI()/180))/(TAN(($B$7+($B$14*(G29-$E$7)))*PI()/180))*1/$B$16*($H$13+($B$15*(G29-$E$8)))-$B$13*1/$B$16*($H$13+($B$15*(G29-$E$8)))-($H$13+($B$15*(G29-$E$8)))+$B$13*($H$13+($B$15*(G29-$E$8))))+(WURZEL((POTENZ(((TAN(E29*PI()/180))/(TAN(($B$7+($B$14*(G29-$E$7)))*PI()/180))*($H$13+($B$15*(G29-$E$8)))+(TAN(E29*PI()/180))/(TAN(($B$7+($B$14*(G29-$E$7)))*PI()/180))*1/$B$16*($H$13+($B$15*(G29-$E$8)))-$B$13*1/$B$16*($H$13+($B$15*(G29-$E$8)))-($H$13+($B$15*(G29-$E$8)))+$B$13*($H$13+($B$15*(G29-$E$8)))),2))-4*((TAN(E29*PI()/180))/(TAN(($B$7+($B$14*(G29-$E$7)))*PI()/180))*1/$B$16*POTENZ(($H$13+($B$15*(G29-$E$8))),2))*((TAN(E29*PI()/180))/(TAN(($B$7+($B$14*(G29-$E$7)))*PI()/180))-1))))/(2*((TAN(E29*PI()/180))/(TAN(($B$7+($B$14*(G29-$E$7)))*PI()/180))*1/$B$16*POTENZ(($H$13+($B$15*(G29-$E$8))),2)))</f>
        <v>117.941679551268</v>
      </c>
      <c r="J29" s="122" t="n">
        <f aca="false">I29*20.9/100</f>
        <v>24.649811026215</v>
      </c>
      <c r="K29" s="82" t="n">
        <f aca="false">($B$9-EXP(52.57-6690.9/(273.15+G29)-4.681*LN(273.15+G29)))*I29/100*0.2095</f>
        <v>245.376497226831</v>
      </c>
      <c r="L29" s="82" t="n">
        <f aca="false">K29/1.33322</f>
        <v>184.048017001568</v>
      </c>
      <c r="M29" s="121" t="n">
        <f aca="false">(($B$9-EXP(52.57-6690.9/(273.15+G29)-4.681*LN(273.15+G29)))/1013)*I29/100*0.2095*((49-1.335*G29+0.02759*POTENZ(G29,2)-0.0003235*POTENZ(G29,3)+0.000001614*POTENZ(G29,4))-($J$16*(5.516*10^-1-1.759*10^-2*G29+2.253*10^-4*POTENZ(G29,2)-2.654*10^-7*POTENZ(G29,3)+5.363*10^-8*POTENZ(G29,4))))*32/22.414</f>
        <v>9.30727431148326</v>
      </c>
      <c r="N29" s="121" t="n">
        <f aca="false">M29*31.25</f>
        <v>290.852322233852</v>
      </c>
      <c r="P29" s="58"/>
      <c r="Q29" s="58"/>
      <c r="R29" s="58"/>
    </row>
    <row collapsed="false" customFormat="false" customHeight="false" hidden="false" ht="12.75" outlineLevel="0" r="30">
      <c r="A30" s="120" t="n">
        <v>40402</v>
      </c>
      <c r="B30" s="0" t="s">
        <v>96</v>
      </c>
      <c r="C30" s="0" t="n">
        <v>1.537</v>
      </c>
      <c r="D30" s="0" t="n">
        <v>353.37</v>
      </c>
      <c r="E30" s="0" t="n">
        <v>26.91</v>
      </c>
      <c r="F30" s="0" t="n">
        <v>2662</v>
      </c>
      <c r="G30" s="0" t="n">
        <v>17.4</v>
      </c>
      <c r="I30" s="121" t="n">
        <f aca="false">(-((TAN(E30*PI()/180))/(TAN(($B$7+($B$14*(G30-$E$7)))*PI()/180))*($H$13+($B$15*(G30-$E$8)))+(TAN(E30*PI()/180))/(TAN(($B$7+($B$14*(G30-$E$7)))*PI()/180))*1/$B$16*($H$13+($B$15*(G30-$E$8)))-$B$13*1/$B$16*($H$13+($B$15*(G30-$E$8)))-($H$13+($B$15*(G30-$E$8)))+$B$13*($H$13+($B$15*(G30-$E$8))))+(WURZEL((POTENZ(((TAN(E30*PI()/180))/(TAN(($B$7+($B$14*(G30-$E$7)))*PI()/180))*($H$13+($B$15*(G30-$E$8)))+(TAN(E30*PI()/180))/(TAN(($B$7+($B$14*(G30-$E$7)))*PI()/180))*1/$B$16*($H$13+($B$15*(G30-$E$8)))-$B$13*1/$B$16*($H$13+($B$15*(G30-$E$8)))-($H$13+($B$15*(G30-$E$8)))+$B$13*($H$13+($B$15*(G30-$E$8)))),2))-4*((TAN(E30*PI()/180))/(TAN(($B$7+($B$14*(G30-$E$7)))*PI()/180))*1/$B$16*POTENZ(($H$13+($B$15*(G30-$E$8))),2))*((TAN(E30*PI()/180))/(TAN(($B$7+($B$14*(G30-$E$7)))*PI()/180))-1))))/(2*((TAN(E30*PI()/180))/(TAN(($B$7+($B$14*(G30-$E$7)))*PI()/180))*1/$B$16*POTENZ(($H$13+($B$15*(G30-$E$8))),2)))</f>
        <v>117.615717341058</v>
      </c>
      <c r="J30" s="122" t="n">
        <f aca="false">I30*20.9/100</f>
        <v>24.5816849242812</v>
      </c>
      <c r="K30" s="82" t="n">
        <f aca="false">($B$9-EXP(52.57-6690.9/(273.15+G30)-4.681*LN(273.15+G30)))*I30/100*0.2095</f>
        <v>244.698336074015</v>
      </c>
      <c r="L30" s="82" t="n">
        <f aca="false">K30/1.33322</f>
        <v>183.539352900507</v>
      </c>
      <c r="M30" s="121" t="n">
        <f aca="false">(($B$9-EXP(52.57-6690.9/(273.15+G30)-4.681*LN(273.15+G30)))/1013)*I30/100*0.2095*((49-1.335*G30+0.02759*POTENZ(G30,2)-0.0003235*POTENZ(G30,3)+0.000001614*POTENZ(G30,4))-($J$16*(5.516*10^-1-1.759*10^-2*G30+2.253*10^-4*POTENZ(G30,2)-2.654*10^-7*POTENZ(G30,3)+5.363*10^-8*POTENZ(G30,4))))*32/22.414</f>
        <v>9.2815512616069</v>
      </c>
      <c r="N30" s="121" t="n">
        <f aca="false">M30*31.25</f>
        <v>290.048476925216</v>
      </c>
      <c r="P30" s="58"/>
      <c r="Q30" s="58"/>
      <c r="R30" s="58"/>
    </row>
    <row collapsed="false" customFormat="false" customHeight="false" hidden="false" ht="12.75" outlineLevel="0" r="31">
      <c r="A31" s="120" t="n">
        <v>40402</v>
      </c>
      <c r="B31" s="0" t="s">
        <v>97</v>
      </c>
      <c r="C31" s="0" t="n">
        <v>1.704</v>
      </c>
      <c r="D31" s="0" t="n">
        <v>353.37</v>
      </c>
      <c r="E31" s="0" t="n">
        <v>26.91</v>
      </c>
      <c r="F31" s="0" t="n">
        <v>2658</v>
      </c>
      <c r="G31" s="0" t="n">
        <v>17.4</v>
      </c>
      <c r="I31" s="121" t="n">
        <f aca="false">(-((TAN(E31*PI()/180))/(TAN(($B$7+($B$14*(G31-$E$7)))*PI()/180))*($H$13+($B$15*(G31-$E$8)))+(TAN(E31*PI()/180))/(TAN(($B$7+($B$14*(G31-$E$7)))*PI()/180))*1/$B$16*($H$13+($B$15*(G31-$E$8)))-$B$13*1/$B$16*($H$13+($B$15*(G31-$E$8)))-($H$13+($B$15*(G31-$E$8)))+$B$13*($H$13+($B$15*(G31-$E$8))))+(WURZEL((POTENZ(((TAN(E31*PI()/180))/(TAN(($B$7+($B$14*(G31-$E$7)))*PI()/180))*($H$13+($B$15*(G31-$E$8)))+(TAN(E31*PI()/180))/(TAN(($B$7+($B$14*(G31-$E$7)))*PI()/180))*1/$B$16*($H$13+($B$15*(G31-$E$8)))-$B$13*1/$B$16*($H$13+($B$15*(G31-$E$8)))-($H$13+($B$15*(G31-$E$8)))+$B$13*($H$13+($B$15*(G31-$E$8)))),2))-4*((TAN(E31*PI()/180))/(TAN(($B$7+($B$14*(G31-$E$7)))*PI()/180))*1/$B$16*POTENZ(($H$13+($B$15*(G31-$E$8))),2))*((TAN(E31*PI()/180))/(TAN(($B$7+($B$14*(G31-$E$7)))*PI()/180))-1))))/(2*((TAN(E31*PI()/180))/(TAN(($B$7+($B$14*(G31-$E$7)))*PI()/180))*1/$B$16*POTENZ(($H$13+($B$15*(G31-$E$8))),2)))</f>
        <v>117.615717341058</v>
      </c>
      <c r="J31" s="122" t="n">
        <f aca="false">I31*20.9/100</f>
        <v>24.5816849242812</v>
      </c>
      <c r="K31" s="82" t="n">
        <f aca="false">($B$9-EXP(52.57-6690.9/(273.15+G31)-4.681*LN(273.15+G31)))*I31/100*0.2095</f>
        <v>244.698336074015</v>
      </c>
      <c r="L31" s="82" t="n">
        <f aca="false">K31/1.33322</f>
        <v>183.539352900507</v>
      </c>
      <c r="M31" s="121" t="n">
        <f aca="false">(($B$9-EXP(52.57-6690.9/(273.15+G31)-4.681*LN(273.15+G31)))/1013)*I31/100*0.2095*((49-1.335*G31+0.02759*POTENZ(G31,2)-0.0003235*POTENZ(G31,3)+0.000001614*POTENZ(G31,4))-($J$16*(5.516*10^-1-1.759*10^-2*G31+2.253*10^-4*POTENZ(G31,2)-2.654*10^-7*POTENZ(G31,3)+5.363*10^-8*POTENZ(G31,4))))*32/22.414</f>
        <v>9.2815512616069</v>
      </c>
      <c r="N31" s="121" t="n">
        <f aca="false">M31*31.25</f>
        <v>290.048476925216</v>
      </c>
      <c r="P31" s="58"/>
      <c r="Q31" s="58"/>
      <c r="R31" s="58"/>
    </row>
    <row collapsed="false" customFormat="false" customHeight="false" hidden="false" ht="12.75" outlineLevel="0" r="32">
      <c r="A32" s="120" t="n">
        <v>40402</v>
      </c>
      <c r="B32" s="0" t="s">
        <v>98</v>
      </c>
      <c r="C32" s="0" t="n">
        <v>1.871</v>
      </c>
      <c r="D32" s="0" t="n">
        <v>353.044</v>
      </c>
      <c r="E32" s="0" t="n">
        <v>26.92</v>
      </c>
      <c r="F32" s="0" t="n">
        <v>2662</v>
      </c>
      <c r="G32" s="0" t="n">
        <v>17.4</v>
      </c>
      <c r="I32" s="121" t="n">
        <f aca="false">(-((TAN(E32*PI()/180))/(TAN(($B$7+($B$14*(G32-$E$7)))*PI()/180))*($H$13+($B$15*(G32-$E$8)))+(TAN(E32*PI()/180))/(TAN(($B$7+($B$14*(G32-$E$7)))*PI()/180))*1/$B$16*($H$13+($B$15*(G32-$E$8)))-$B$13*1/$B$16*($H$13+($B$15*(G32-$E$8)))-($H$13+($B$15*(G32-$E$8)))+$B$13*($H$13+($B$15*(G32-$E$8))))+(WURZEL((POTENZ(((TAN(E32*PI()/180))/(TAN(($B$7+($B$14*(G32-$E$7)))*PI()/180))*($H$13+($B$15*(G32-$E$8)))+(TAN(E32*PI()/180))/(TAN(($B$7+($B$14*(G32-$E$7)))*PI()/180))*1/$B$16*($H$13+($B$15*(G32-$E$8)))-$B$13*1/$B$16*($H$13+($B$15*(G32-$E$8)))-($H$13+($B$15*(G32-$E$8)))+$B$13*($H$13+($B$15*(G32-$E$8)))),2))-4*((TAN(E32*PI()/180))/(TAN(($B$7+($B$14*(G32-$E$7)))*PI()/180))*1/$B$16*POTENZ(($H$13+($B$15*(G32-$E$8))),2))*((TAN(E32*PI()/180))/(TAN(($B$7+($B$14*(G32-$E$7)))*PI()/180))-1))))/(2*((TAN(E32*PI()/180))/(TAN(($B$7+($B$14*(G32-$E$7)))*PI()/180))*1/$B$16*POTENZ(($H$13+($B$15*(G32-$E$8))),2)))</f>
        <v>117.507303545314</v>
      </c>
      <c r="J32" s="122" t="n">
        <f aca="false">I32*20.9/100</f>
        <v>24.5590264409706</v>
      </c>
      <c r="K32" s="82" t="n">
        <f aca="false">($B$9-EXP(52.57-6690.9/(273.15+G32)-4.681*LN(273.15+G32)))*I32/100*0.2095</f>
        <v>244.472782244766</v>
      </c>
      <c r="L32" s="82" t="n">
        <f aca="false">K32/1.33322</f>
        <v>183.370173148292</v>
      </c>
      <c r="M32" s="121" t="n">
        <f aca="false">(($B$9-EXP(52.57-6690.9/(273.15+G32)-4.681*LN(273.15+G32)))/1013)*I32/100*0.2095*((49-1.335*G32+0.02759*POTENZ(G32,2)-0.0003235*POTENZ(G32,3)+0.000001614*POTENZ(G32,4))-($J$16*(5.516*10^-1-1.759*10^-2*G32+2.253*10^-4*POTENZ(G32,2)-2.654*10^-7*POTENZ(G32,3)+5.363*10^-8*POTENZ(G32,4))))*32/22.414</f>
        <v>9.27299587270639</v>
      </c>
      <c r="N32" s="121" t="n">
        <f aca="false">M32*31.25</f>
        <v>289.781121022075</v>
      </c>
      <c r="P32" s="58"/>
      <c r="Q32" s="58"/>
      <c r="R32" s="58"/>
    </row>
    <row collapsed="false" customFormat="false" customHeight="false" hidden="false" ht="12.75" outlineLevel="0" r="33">
      <c r="A33" s="120" t="n">
        <v>40402</v>
      </c>
      <c r="B33" s="0" t="s">
        <v>99</v>
      </c>
      <c r="C33" s="0" t="n">
        <v>2.037</v>
      </c>
      <c r="D33" s="0" t="n">
        <v>353.696</v>
      </c>
      <c r="E33" s="0" t="n">
        <v>26.9</v>
      </c>
      <c r="F33" s="0" t="n">
        <v>2662</v>
      </c>
      <c r="G33" s="0" t="n">
        <v>17.4</v>
      </c>
      <c r="I33" s="121" t="n">
        <f aca="false">(-((TAN(E33*PI()/180))/(TAN(($B$7+($B$14*(G33-$E$7)))*PI()/180))*($H$13+($B$15*(G33-$E$8)))+(TAN(E33*PI()/180))/(TAN(($B$7+($B$14*(G33-$E$7)))*PI()/180))*1/$B$16*($H$13+($B$15*(G33-$E$8)))-$B$13*1/$B$16*($H$13+($B$15*(G33-$E$8)))-($H$13+($B$15*(G33-$E$8)))+$B$13*($H$13+($B$15*(G33-$E$8))))+(WURZEL((POTENZ(((TAN(E33*PI()/180))/(TAN(($B$7+($B$14*(G33-$E$7)))*PI()/180))*($H$13+($B$15*(G33-$E$8)))+(TAN(E33*PI()/180))/(TAN(($B$7+($B$14*(G33-$E$7)))*PI()/180))*1/$B$16*($H$13+($B$15*(G33-$E$8)))-$B$13*1/$B$16*($H$13+($B$15*(G33-$E$8)))-($H$13+($B$15*(G33-$E$8)))+$B$13*($H$13+($B$15*(G33-$E$8)))),2))-4*((TAN(E33*PI()/180))/(TAN(($B$7+($B$14*(G33-$E$7)))*PI()/180))*1/$B$16*POTENZ(($H$13+($B$15*(G33-$E$8))),2))*((TAN(E33*PI()/180))/(TAN(($B$7+($B$14*(G33-$E$7)))*PI()/180))-1))))/(2*((TAN(E33*PI()/180))/(TAN(($B$7+($B$14*(G33-$E$7)))*PI()/180))*1/$B$16*POTENZ(($H$13+($B$15*(G33-$E$8))),2)))</f>
        <v>117.724251160209</v>
      </c>
      <c r="J33" s="122" t="n">
        <f aca="false">I33*20.9/100</f>
        <v>24.6043684924837</v>
      </c>
      <c r="K33" s="82" t="n">
        <f aca="false">($B$9-EXP(52.57-6690.9/(273.15+G33)-4.681*LN(273.15+G33)))*I33/100*0.2095</f>
        <v>244.924139610773</v>
      </c>
      <c r="L33" s="82" t="n">
        <f aca="false">K33/1.33322</f>
        <v>183.708719949276</v>
      </c>
      <c r="M33" s="121" t="n">
        <f aca="false">(($B$9-EXP(52.57-6690.9/(273.15+G33)-4.681*LN(273.15+G33)))/1013)*I33/100*0.2095*((49-1.335*G33+0.02759*POTENZ(G33,2)-0.0003235*POTENZ(G33,3)+0.000001614*POTENZ(G33,4))-($J$16*(5.516*10^-1-1.759*10^-2*G33+2.253*10^-4*POTENZ(G33,2)-2.654*10^-7*POTENZ(G33,3)+5.363*10^-8*POTENZ(G33,4))))*32/22.414</f>
        <v>9.29011612205958</v>
      </c>
      <c r="N33" s="121" t="n">
        <f aca="false">M33*31.25</f>
        <v>290.316128814362</v>
      </c>
      <c r="P33" s="58"/>
      <c r="Q33" s="58"/>
      <c r="R33" s="58"/>
    </row>
    <row collapsed="false" customFormat="false" customHeight="false" hidden="false" ht="12.75" outlineLevel="0" r="34">
      <c r="A34" s="120" t="n">
        <v>40402</v>
      </c>
      <c r="B34" s="0" t="s">
        <v>100</v>
      </c>
      <c r="C34" s="0" t="n">
        <v>2.204</v>
      </c>
      <c r="D34" s="0" t="n">
        <v>350.428</v>
      </c>
      <c r="E34" s="0" t="n">
        <v>26.96</v>
      </c>
      <c r="F34" s="0" t="n">
        <v>2661</v>
      </c>
      <c r="G34" s="0" t="n">
        <v>17.5</v>
      </c>
      <c r="I34" s="121" t="n">
        <f aca="false">(-((TAN(E34*PI()/180))/(TAN(($B$7+($B$14*(G34-$E$7)))*PI()/180))*($H$13+($B$15*(G34-$E$8)))+(TAN(E34*PI()/180))/(TAN(($B$7+($B$14*(G34-$E$7)))*PI()/180))*1/$B$16*($H$13+($B$15*(G34-$E$8)))-$B$13*1/$B$16*($H$13+($B$15*(G34-$E$8)))-($H$13+($B$15*(G34-$E$8)))+$B$13*($H$13+($B$15*(G34-$E$8))))+(WURZEL((POTENZ(((TAN(E34*PI()/180))/(TAN(($B$7+($B$14*(G34-$E$7)))*PI()/180))*($H$13+($B$15*(G34-$E$8)))+(TAN(E34*PI()/180))/(TAN(($B$7+($B$14*(G34-$E$7)))*PI()/180))*1/$B$16*($H$13+($B$15*(G34-$E$8)))-$B$13*1/$B$16*($H$13+($B$15*(G34-$E$8)))-($H$13+($B$15*(G34-$E$8)))+$B$13*($H$13+($B$15*(G34-$E$8)))),2))-4*((TAN(E34*PI()/180))/(TAN(($B$7+($B$14*(G34-$E$7)))*PI()/180))*1/$B$16*POTENZ(($H$13+($B$15*(G34-$E$8))),2))*((TAN(E34*PI()/180))/(TAN(($B$7+($B$14*(G34-$E$7)))*PI()/180))-1))))/(2*((TAN(E34*PI()/180))/(TAN(($B$7+($B$14*(G34-$E$7)))*PI()/180))*1/$B$16*POTENZ(($H$13+($B$15*(G34-$E$8))),2)))</f>
        <v>116.877942521845</v>
      </c>
      <c r="J34" s="122" t="n">
        <f aca="false">I34*20.9/100</f>
        <v>24.4274899870656</v>
      </c>
      <c r="K34" s="82" t="n">
        <f aca="false">($B$9-EXP(52.57-6690.9/(273.15+G34)-4.681*LN(273.15+G34)))*I34/100*0.2095</f>
        <v>243.132507567932</v>
      </c>
      <c r="L34" s="82" t="n">
        <f aca="false">K34/1.33322</f>
        <v>182.364881690893</v>
      </c>
      <c r="M34" s="121" t="n">
        <f aca="false">(($B$9-EXP(52.57-6690.9/(273.15+G34)-4.681*LN(273.15+G34)))/1013)*I34/100*0.2095*((49-1.335*G34+0.02759*POTENZ(G34,2)-0.0003235*POTENZ(G34,3)+0.000001614*POTENZ(G34,4))-($J$16*(5.516*10^-1-1.759*10^-2*G34+2.253*10^-4*POTENZ(G34,2)-2.654*10^-7*POTENZ(G34,3)+5.363*10^-8*POTENZ(G34,4))))*32/22.414</f>
        <v>9.20584928414708</v>
      </c>
      <c r="N34" s="121" t="n">
        <f aca="false">M34*31.25</f>
        <v>287.682790129596</v>
      </c>
      <c r="P34" s="58"/>
      <c r="Q34" s="58"/>
      <c r="R34" s="58"/>
    </row>
    <row collapsed="false" customFormat="false" customHeight="false" hidden="false" ht="12.75" outlineLevel="0" r="35">
      <c r="A35" s="120" t="n">
        <v>40402</v>
      </c>
      <c r="B35" s="0" t="s">
        <v>101</v>
      </c>
      <c r="C35" s="0" t="n">
        <v>2.371</v>
      </c>
      <c r="D35" s="0" t="n">
        <v>349.783</v>
      </c>
      <c r="E35" s="0" t="n">
        <v>26.98</v>
      </c>
      <c r="F35" s="0" t="n">
        <v>2660</v>
      </c>
      <c r="G35" s="0" t="n">
        <v>17.5</v>
      </c>
      <c r="I35" s="121" t="n">
        <f aca="false">(-((TAN(E35*PI()/180))/(TAN(($B$7+($B$14*(G35-$E$7)))*PI()/180))*($H$13+($B$15*(G35-$E$8)))+(TAN(E35*PI()/180))/(TAN(($B$7+($B$14*(G35-$E$7)))*PI()/180))*1/$B$16*($H$13+($B$15*(G35-$E$8)))-$B$13*1/$B$16*($H$13+($B$15*(G35-$E$8)))-($H$13+($B$15*(G35-$E$8)))+$B$13*($H$13+($B$15*(G35-$E$8))))+(WURZEL((POTENZ(((TAN(E35*PI()/180))/(TAN(($B$7+($B$14*(G35-$E$7)))*PI()/180))*($H$13+($B$15*(G35-$E$8)))+(TAN(E35*PI()/180))/(TAN(($B$7+($B$14*(G35-$E$7)))*PI()/180))*1/$B$16*($H$13+($B$15*(G35-$E$8)))-$B$13*1/$B$16*($H$13+($B$15*(G35-$E$8)))-($H$13+($B$15*(G35-$E$8)))+$B$13*($H$13+($B$15*(G35-$E$8)))),2))-4*((TAN(E35*PI()/180))/(TAN(($B$7+($B$14*(G35-$E$7)))*PI()/180))*1/$B$16*POTENZ(($H$13+($B$15*(G35-$E$8))),2))*((TAN(E35*PI()/180))/(TAN(($B$7+($B$14*(G35-$E$7)))*PI()/180))-1))))/(2*((TAN(E35*PI()/180))/(TAN(($B$7+($B$14*(G35-$E$7)))*PI()/180))*1/$B$16*POTENZ(($H$13+($B$15*(G35-$E$8))),2)))</f>
        <v>116.662780506381</v>
      </c>
      <c r="J35" s="122" t="n">
        <f aca="false">I35*20.9/100</f>
        <v>24.3825211258336</v>
      </c>
      <c r="K35" s="82" t="n">
        <f aca="false">($B$9-EXP(52.57-6690.9/(273.15+G35)-4.681*LN(273.15+G35)))*I35/100*0.2095</f>
        <v>242.684921999394</v>
      </c>
      <c r="L35" s="82" t="n">
        <f aca="false">K35/1.33322</f>
        <v>182.029163978484</v>
      </c>
      <c r="M35" s="121" t="n">
        <f aca="false">(($B$9-EXP(52.57-6690.9/(273.15+G35)-4.681*LN(273.15+G35)))/1013)*I35/100*0.2095*((49-1.335*G35+0.02759*POTENZ(G35,2)-0.0003235*POTENZ(G35,3)+0.000001614*POTENZ(G35,4))-($J$16*(5.516*10^-1-1.759*10^-2*G35+2.253*10^-4*POTENZ(G35,2)-2.654*10^-7*POTENZ(G35,3)+5.363*10^-8*POTENZ(G35,4))))*32/22.414</f>
        <v>9.18890212505703</v>
      </c>
      <c r="N35" s="121" t="n">
        <f aca="false">M35*31.25</f>
        <v>287.153191408032</v>
      </c>
      <c r="P35" s="58"/>
      <c r="Q35" s="58"/>
      <c r="R35" s="58"/>
    </row>
    <row collapsed="false" customFormat="false" customHeight="false" hidden="false" ht="12.75" outlineLevel="0" r="36">
      <c r="A36" s="120" t="n">
        <v>40402</v>
      </c>
      <c r="B36" s="0" t="s">
        <v>102</v>
      </c>
      <c r="C36" s="0" t="n">
        <v>2.538</v>
      </c>
      <c r="D36" s="0" t="n">
        <v>349.783</v>
      </c>
      <c r="E36" s="0" t="n">
        <v>26.98</v>
      </c>
      <c r="F36" s="0" t="n">
        <v>2663</v>
      </c>
      <c r="G36" s="0" t="n">
        <v>17.5</v>
      </c>
      <c r="I36" s="121" t="n">
        <f aca="false">(-((TAN(E36*PI()/180))/(TAN(($B$7+($B$14*(G36-$E$7)))*PI()/180))*($H$13+($B$15*(G36-$E$8)))+(TAN(E36*PI()/180))/(TAN(($B$7+($B$14*(G36-$E$7)))*PI()/180))*1/$B$16*($H$13+($B$15*(G36-$E$8)))-$B$13*1/$B$16*($H$13+($B$15*(G36-$E$8)))-($H$13+($B$15*(G36-$E$8)))+$B$13*($H$13+($B$15*(G36-$E$8))))+(WURZEL((POTENZ(((TAN(E36*PI()/180))/(TAN(($B$7+($B$14*(G36-$E$7)))*PI()/180))*($H$13+($B$15*(G36-$E$8)))+(TAN(E36*PI()/180))/(TAN(($B$7+($B$14*(G36-$E$7)))*PI()/180))*1/$B$16*($H$13+($B$15*(G36-$E$8)))-$B$13*1/$B$16*($H$13+($B$15*(G36-$E$8)))-($H$13+($B$15*(G36-$E$8)))+$B$13*($H$13+($B$15*(G36-$E$8)))),2))-4*((TAN(E36*PI()/180))/(TAN(($B$7+($B$14*(G36-$E$7)))*PI()/180))*1/$B$16*POTENZ(($H$13+($B$15*(G36-$E$8))),2))*((TAN(E36*PI()/180))/(TAN(($B$7+($B$14*(G36-$E$7)))*PI()/180))-1))))/(2*((TAN(E36*PI()/180))/(TAN(($B$7+($B$14*(G36-$E$7)))*PI()/180))*1/$B$16*POTENZ(($H$13+($B$15*(G36-$E$8))),2)))</f>
        <v>116.662780506381</v>
      </c>
      <c r="J36" s="122" t="n">
        <f aca="false">I36*20.9/100</f>
        <v>24.3825211258336</v>
      </c>
      <c r="K36" s="82" t="n">
        <f aca="false">($B$9-EXP(52.57-6690.9/(273.15+G36)-4.681*LN(273.15+G36)))*I36/100*0.2095</f>
        <v>242.684921999394</v>
      </c>
      <c r="L36" s="82" t="n">
        <f aca="false">K36/1.33322</f>
        <v>182.029163978484</v>
      </c>
      <c r="M36" s="121" t="n">
        <f aca="false">(($B$9-EXP(52.57-6690.9/(273.15+G36)-4.681*LN(273.15+G36)))/1013)*I36/100*0.2095*((49-1.335*G36+0.02759*POTENZ(G36,2)-0.0003235*POTENZ(G36,3)+0.000001614*POTENZ(G36,4))-($J$16*(5.516*10^-1-1.759*10^-2*G36+2.253*10^-4*POTENZ(G36,2)-2.654*10^-7*POTENZ(G36,3)+5.363*10^-8*POTENZ(G36,4))))*32/22.414</f>
        <v>9.18890212505703</v>
      </c>
      <c r="N36" s="121" t="n">
        <f aca="false">M36*31.25</f>
        <v>287.153191408032</v>
      </c>
      <c r="P36" s="58"/>
      <c r="Q36" s="58"/>
      <c r="R36" s="58"/>
    </row>
    <row collapsed="false" customFormat="false" customHeight="false" hidden="false" ht="12.75" outlineLevel="0" r="37">
      <c r="A37" s="120" t="n">
        <v>40402</v>
      </c>
      <c r="B37" s="0" t="s">
        <v>103</v>
      </c>
      <c r="C37" s="0" t="n">
        <v>2.705</v>
      </c>
      <c r="D37" s="0" t="n">
        <v>355.641</v>
      </c>
      <c r="E37" s="0" t="n">
        <v>26.8</v>
      </c>
      <c r="F37" s="0" t="n">
        <v>2659</v>
      </c>
      <c r="G37" s="0" t="n">
        <v>17.5</v>
      </c>
      <c r="I37" s="121" t="n">
        <f aca="false">(-((TAN(E37*PI()/180))/(TAN(($B$7+($B$14*(G37-$E$7)))*PI()/180))*($H$13+($B$15*(G37-$E$8)))+(TAN(E37*PI()/180))/(TAN(($B$7+($B$14*(G37-$E$7)))*PI()/180))*1/$B$16*($H$13+($B$15*(G37-$E$8)))-$B$13*1/$B$16*($H$13+($B$15*(G37-$E$8)))-($H$13+($B$15*(G37-$E$8)))+$B$13*($H$13+($B$15*(G37-$E$8))))+(WURZEL((POTENZ(((TAN(E37*PI()/180))/(TAN(($B$7+($B$14*(G37-$E$7)))*PI()/180))*($H$13+($B$15*(G37-$E$8)))+(TAN(E37*PI()/180))/(TAN(($B$7+($B$14*(G37-$E$7)))*PI()/180))*1/$B$16*($H$13+($B$15*(G37-$E$8)))-$B$13*1/$B$16*($H$13+($B$15*(G37-$E$8)))-($H$13+($B$15*(G37-$E$8)))+$B$13*($H$13+($B$15*(G37-$E$8)))),2))-4*((TAN(E37*PI()/180))/(TAN(($B$7+($B$14*(G37-$E$7)))*PI()/180))*1/$B$16*POTENZ(($H$13+($B$15*(G37-$E$8))),2))*((TAN(E37*PI()/180))/(TAN(($B$7+($B$14*(G37-$E$7)))*PI()/180))-1))))/(2*((TAN(E37*PI()/180))/(TAN(($B$7+($B$14*(G37-$E$7)))*PI()/180))*1/$B$16*POTENZ(($H$13+($B$15*(G37-$E$8))),2)))</f>
        <v>118.616486629088</v>
      </c>
      <c r="J37" s="122" t="n">
        <f aca="false">I37*20.9/100</f>
        <v>24.7908457054794</v>
      </c>
      <c r="K37" s="82" t="n">
        <f aca="false">($B$9-EXP(52.57-6690.9/(273.15+G37)-4.681*LN(273.15+G37)))*I37/100*0.2095</f>
        <v>246.749071815994</v>
      </c>
      <c r="L37" s="82" t="n">
        <f aca="false">K37/1.33322</f>
        <v>185.077535452509</v>
      </c>
      <c r="M37" s="121" t="n">
        <f aca="false">(($B$9-EXP(52.57-6690.9/(273.15+G37)-4.681*LN(273.15+G37)))/1013)*I37/100*0.2095*((49-1.335*G37+0.02759*POTENZ(G37,2)-0.0003235*POTENZ(G37,3)+0.000001614*POTENZ(G37,4))-($J$16*(5.516*10^-1-1.759*10^-2*G37+2.253*10^-4*POTENZ(G37,2)-2.654*10^-7*POTENZ(G37,3)+5.363*10^-8*POTENZ(G37,4))))*32/22.414</f>
        <v>9.34278508811311</v>
      </c>
      <c r="N37" s="121" t="n">
        <f aca="false">M37*31.25</f>
        <v>291.962034003535</v>
      </c>
      <c r="P37" s="58"/>
      <c r="Q37" s="58"/>
      <c r="R37" s="58"/>
    </row>
    <row collapsed="false" customFormat="false" customHeight="false" hidden="false" ht="12.75" outlineLevel="0" r="38">
      <c r="A38" s="120" t="n">
        <v>40402</v>
      </c>
      <c r="B38" s="0" t="s">
        <v>104</v>
      </c>
      <c r="C38" s="0" t="n">
        <v>2.872</v>
      </c>
      <c r="D38" s="0" t="n">
        <v>353.349</v>
      </c>
      <c r="E38" s="0" t="n">
        <v>26.87</v>
      </c>
      <c r="F38" s="0" t="n">
        <v>2662</v>
      </c>
      <c r="G38" s="0" t="n">
        <v>17.5</v>
      </c>
      <c r="I38" s="121" t="n">
        <f aca="false">(-((TAN(E38*PI()/180))/(TAN(($B$7+($B$14*(G38-$E$7)))*PI()/180))*($H$13+($B$15*(G38-$E$8)))+(TAN(E38*PI()/180))/(TAN(($B$7+($B$14*(G38-$E$7)))*PI()/180))*1/$B$16*($H$13+($B$15*(G38-$E$8)))-$B$13*1/$B$16*($H$13+($B$15*(G38-$E$8)))-($H$13+($B$15*(G38-$E$8)))+$B$13*($H$13+($B$15*(G38-$E$8))))+(WURZEL((POTENZ(((TAN(E38*PI()/180))/(TAN(($B$7+($B$14*(G38-$E$7)))*PI()/180))*($H$13+($B$15*(G38-$E$8)))+(TAN(E38*PI()/180))/(TAN(($B$7+($B$14*(G38-$E$7)))*PI()/180))*1/$B$16*($H$13+($B$15*(G38-$E$8)))-$B$13*1/$B$16*($H$13+($B$15*(G38-$E$8)))-($H$13+($B$15*(G38-$E$8)))+$B$13*($H$13+($B$15*(G38-$E$8)))),2))-4*((TAN(E38*PI()/180))/(TAN(($B$7+($B$14*(G38-$E$7)))*PI()/180))*1/$B$16*POTENZ(($H$13+($B$15*(G38-$E$8))),2))*((TAN(E38*PI()/180))/(TAN(($B$7+($B$14*(G38-$E$7)))*PI()/180))-1))))/(2*((TAN(E38*PI()/180))/(TAN(($B$7+($B$14*(G38-$E$7)))*PI()/180))*1/$B$16*POTENZ(($H$13+($B$15*(G38-$E$8))),2)))</f>
        <v>117.852080905753</v>
      </c>
      <c r="J38" s="122" t="n">
        <f aca="false">I38*20.9/100</f>
        <v>24.6310849093024</v>
      </c>
      <c r="K38" s="82" t="n">
        <f aca="false">($B$9-EXP(52.57-6690.9/(273.15+G38)-4.681*LN(273.15+G38)))*I38/100*0.2095</f>
        <v>245.158935334262</v>
      </c>
      <c r="L38" s="82" t="n">
        <f aca="false">K38/1.33322</f>
        <v>183.884831711392</v>
      </c>
      <c r="M38" s="121" t="n">
        <f aca="false">(($B$9-EXP(52.57-6690.9/(273.15+G38)-4.681*LN(273.15+G38)))/1013)*I38/100*0.2095*((49-1.335*G38+0.02759*POTENZ(G38,2)-0.0003235*POTENZ(G38,3)+0.000001614*POTENZ(G38,4))-($J$16*(5.516*10^-1-1.759*10^-2*G38+2.253*10^-4*POTENZ(G38,2)-2.654*10^-7*POTENZ(G38,3)+5.363*10^-8*POTENZ(G38,4))))*32/22.414</f>
        <v>9.28257694507838</v>
      </c>
      <c r="N38" s="121" t="n">
        <f aca="false">M38*31.25</f>
        <v>290.080529533699</v>
      </c>
      <c r="P38" s="58"/>
      <c r="Q38" s="58"/>
      <c r="R38" s="58"/>
    </row>
    <row collapsed="false" customFormat="false" customHeight="false" hidden="false" ht="12.75" outlineLevel="0" r="39">
      <c r="A39" s="120" t="n">
        <v>40402</v>
      </c>
      <c r="B39" s="0" t="s">
        <v>105</v>
      </c>
      <c r="C39" s="0" t="n">
        <v>3.039</v>
      </c>
      <c r="D39" s="0" t="n">
        <v>355.97</v>
      </c>
      <c r="E39" s="0" t="n">
        <v>26.79</v>
      </c>
      <c r="F39" s="0" t="n">
        <v>2657</v>
      </c>
      <c r="G39" s="0" t="n">
        <v>17.5</v>
      </c>
      <c r="I39" s="121" t="n">
        <f aca="false">(-((TAN(E39*PI()/180))/(TAN(($B$7+($B$14*(G39-$E$7)))*PI()/180))*($H$13+($B$15*(G39-$E$8)))+(TAN(E39*PI()/180))/(TAN(($B$7+($B$14*(G39-$E$7)))*PI()/180))*1/$B$16*($H$13+($B$15*(G39-$E$8)))-$B$13*1/$B$16*($H$13+($B$15*(G39-$E$8)))-($H$13+($B$15*(G39-$E$8)))+$B$13*($H$13+($B$15*(G39-$E$8))))+(WURZEL((POTENZ(((TAN(E39*PI()/180))/(TAN(($B$7+($B$14*(G39-$E$7)))*PI()/180))*($H$13+($B$15*(G39-$E$8)))+(TAN(E39*PI()/180))/(TAN(($B$7+($B$14*(G39-$E$7)))*PI()/180))*1/$B$16*($H$13+($B$15*(G39-$E$8)))-$B$13*1/$B$16*($H$13+($B$15*(G39-$E$8)))-($H$13+($B$15*(G39-$E$8)))+$B$13*($H$13+($B$15*(G39-$E$8)))),2))-4*((TAN(E39*PI()/180))/(TAN(($B$7+($B$14*(G39-$E$7)))*PI()/180))*1/$B$16*POTENZ(($H$13+($B$15*(G39-$E$8))),2))*((TAN(E39*PI()/180))/(TAN(($B$7+($B$14*(G39-$E$7)))*PI()/180))-1))))/(2*((TAN(E39*PI()/180))/(TAN(($B$7+($B$14*(G39-$E$7)))*PI()/180))*1/$B$16*POTENZ(($H$13+($B$15*(G39-$E$8))),2)))</f>
        <v>118.72617294797</v>
      </c>
      <c r="J39" s="122" t="n">
        <f aca="false">I39*20.9/100</f>
        <v>24.8137701461256</v>
      </c>
      <c r="K39" s="82" t="n">
        <f aca="false">($B$9-EXP(52.57-6690.9/(273.15+G39)-4.681*LN(273.15+G39)))*I39/100*0.2095</f>
        <v>246.977244122762</v>
      </c>
      <c r="L39" s="82" t="n">
        <f aca="false">K39/1.33322</f>
        <v>185.248679229806</v>
      </c>
      <c r="M39" s="121" t="n">
        <f aca="false">(($B$9-EXP(52.57-6690.9/(273.15+G39)-4.681*LN(273.15+G39)))/1013)*I39/100*0.2095*((49-1.335*G39+0.02759*POTENZ(G39,2)-0.0003235*POTENZ(G39,3)+0.000001614*POTENZ(G39,4))-($J$16*(5.516*10^-1-1.759*10^-2*G39+2.253*10^-4*POTENZ(G39,2)-2.654*10^-7*POTENZ(G39,3)+5.363*10^-8*POTENZ(G39,4))))*32/22.414</f>
        <v>9.35142449173683</v>
      </c>
      <c r="N39" s="121" t="n">
        <f aca="false">M39*31.25</f>
        <v>292.232015366776</v>
      </c>
      <c r="P39" s="58"/>
      <c r="Q39" s="58"/>
      <c r="R39" s="58"/>
    </row>
    <row collapsed="false" customFormat="false" customHeight="false" hidden="false" ht="12.75" outlineLevel="0" r="40">
      <c r="A40" s="120" t="n">
        <v>40402</v>
      </c>
      <c r="B40" s="0" t="s">
        <v>106</v>
      </c>
      <c r="C40" s="0" t="n">
        <v>3.206</v>
      </c>
      <c r="D40" s="0" t="n">
        <v>350.428</v>
      </c>
      <c r="E40" s="0" t="n">
        <v>26.96</v>
      </c>
      <c r="F40" s="0" t="n">
        <v>2658</v>
      </c>
      <c r="G40" s="0" t="n">
        <v>17.5</v>
      </c>
      <c r="I40" s="121" t="n">
        <f aca="false">(-((TAN(E40*PI()/180))/(TAN(($B$7+($B$14*(G40-$E$7)))*PI()/180))*($H$13+($B$15*(G40-$E$8)))+(TAN(E40*PI()/180))/(TAN(($B$7+($B$14*(G40-$E$7)))*PI()/180))*1/$B$16*($H$13+($B$15*(G40-$E$8)))-$B$13*1/$B$16*($H$13+($B$15*(G40-$E$8)))-($H$13+($B$15*(G40-$E$8)))+$B$13*($H$13+($B$15*(G40-$E$8))))+(WURZEL((POTENZ(((TAN(E40*PI()/180))/(TAN(($B$7+($B$14*(G40-$E$7)))*PI()/180))*($H$13+($B$15*(G40-$E$8)))+(TAN(E40*PI()/180))/(TAN(($B$7+($B$14*(G40-$E$7)))*PI()/180))*1/$B$16*($H$13+($B$15*(G40-$E$8)))-$B$13*1/$B$16*($H$13+($B$15*(G40-$E$8)))-($H$13+($B$15*(G40-$E$8)))+$B$13*($H$13+($B$15*(G40-$E$8)))),2))-4*((TAN(E40*PI()/180))/(TAN(($B$7+($B$14*(G40-$E$7)))*PI()/180))*1/$B$16*POTENZ(($H$13+($B$15*(G40-$E$8))),2))*((TAN(E40*PI()/180))/(TAN(($B$7+($B$14*(G40-$E$7)))*PI()/180))-1))))/(2*((TAN(E40*PI()/180))/(TAN(($B$7+($B$14*(G40-$E$7)))*PI()/180))*1/$B$16*POTENZ(($H$13+($B$15*(G40-$E$8))),2)))</f>
        <v>116.877942521845</v>
      </c>
      <c r="J40" s="122" t="n">
        <f aca="false">I40*20.9/100</f>
        <v>24.4274899870656</v>
      </c>
      <c r="K40" s="82" t="n">
        <f aca="false">($B$9-EXP(52.57-6690.9/(273.15+G40)-4.681*LN(273.15+G40)))*I40/100*0.2095</f>
        <v>243.132507567932</v>
      </c>
      <c r="L40" s="82" t="n">
        <f aca="false">K40/1.33322</f>
        <v>182.364881690893</v>
      </c>
      <c r="M40" s="121" t="n">
        <f aca="false">(($B$9-EXP(52.57-6690.9/(273.15+G40)-4.681*LN(273.15+G40)))/1013)*I40/100*0.2095*((49-1.335*G40+0.02759*POTENZ(G40,2)-0.0003235*POTENZ(G40,3)+0.000001614*POTENZ(G40,4))-($J$16*(5.516*10^-1-1.759*10^-2*G40+2.253*10^-4*POTENZ(G40,2)-2.654*10^-7*POTENZ(G40,3)+5.363*10^-8*POTENZ(G40,4))))*32/22.414</f>
        <v>9.20584928414708</v>
      </c>
      <c r="N40" s="121" t="n">
        <f aca="false">M40*31.25</f>
        <v>287.682790129596</v>
      </c>
      <c r="P40" s="58"/>
      <c r="Q40" s="58"/>
      <c r="R40" s="58"/>
    </row>
    <row collapsed="false" customFormat="false" customHeight="false" hidden="false" ht="12.75" outlineLevel="0" r="41">
      <c r="A41" s="120" t="n">
        <v>40402</v>
      </c>
      <c r="B41" s="0" t="s">
        <v>107</v>
      </c>
      <c r="C41" s="0" t="n">
        <v>3.373</v>
      </c>
      <c r="D41" s="0" t="n">
        <v>351.723</v>
      </c>
      <c r="E41" s="0" t="n">
        <v>26.92</v>
      </c>
      <c r="F41" s="0" t="n">
        <v>2665</v>
      </c>
      <c r="G41" s="0" t="n">
        <v>17.5</v>
      </c>
      <c r="I41" s="121" t="n">
        <f aca="false">(-((TAN(E41*PI()/180))/(TAN(($B$7+($B$14*(G41-$E$7)))*PI()/180))*($H$13+($B$15*(G41-$E$8)))+(TAN(E41*PI()/180))/(TAN(($B$7+($B$14*(G41-$E$7)))*PI()/180))*1/$B$16*($H$13+($B$15*(G41-$E$8)))-$B$13*1/$B$16*($H$13+($B$15*(G41-$E$8)))-($H$13+($B$15*(G41-$E$8)))+$B$13*($H$13+($B$15*(G41-$E$8))))+(WURZEL((POTENZ(((TAN(E41*PI()/180))/(TAN(($B$7+($B$14*(G41-$E$7)))*PI()/180))*($H$13+($B$15*(G41-$E$8)))+(TAN(E41*PI()/180))/(TAN(($B$7+($B$14*(G41-$E$7)))*PI()/180))*1/$B$16*($H$13+($B$15*(G41-$E$8)))-$B$13*1/$B$16*($H$13+($B$15*(G41-$E$8)))-($H$13+($B$15*(G41-$E$8)))+$B$13*($H$13+($B$15*(G41-$E$8)))),2))-4*((TAN(E41*PI()/180))/(TAN(($B$7+($B$14*(G41-$E$7)))*PI()/180))*1/$B$16*POTENZ(($H$13+($B$15*(G41-$E$8))),2))*((TAN(E41*PI()/180))/(TAN(($B$7+($B$14*(G41-$E$7)))*PI()/180))-1))))/(2*((TAN(E41*PI()/180))/(TAN(($B$7+($B$14*(G41-$E$7)))*PI()/180))*1/$B$16*POTENZ(($H$13+($B$15*(G41-$E$8))),2)))</f>
        <v>117.309695722332</v>
      </c>
      <c r="J41" s="122" t="n">
        <f aca="false">I41*20.9/100</f>
        <v>24.5177264059674</v>
      </c>
      <c r="K41" s="82" t="n">
        <f aca="false">($B$9-EXP(52.57-6690.9/(273.15+G41)-4.681*LN(273.15+G41)))*I41/100*0.2095</f>
        <v>244.030651700348</v>
      </c>
      <c r="L41" s="82" t="n">
        <f aca="false">K41/1.33322</f>
        <v>183.038547051761</v>
      </c>
      <c r="M41" s="121" t="n">
        <f aca="false">(($B$9-EXP(52.57-6690.9/(273.15+G41)-4.681*LN(273.15+G41)))/1013)*I41/100*0.2095*((49-1.335*G41+0.02759*POTENZ(G41,2)-0.0003235*POTENZ(G41,3)+0.000001614*POTENZ(G41,4))-($J$16*(5.516*10^-1-1.759*10^-2*G41+2.253*10^-4*POTENZ(G41,2)-2.654*10^-7*POTENZ(G41,3)+5.363*10^-8*POTENZ(G41,4))))*32/22.414</f>
        <v>9.23985617035564</v>
      </c>
      <c r="N41" s="121" t="n">
        <f aca="false">M41*31.25</f>
        <v>288.745505323614</v>
      </c>
      <c r="P41" s="58"/>
      <c r="Q41" s="58"/>
      <c r="R41" s="58"/>
    </row>
    <row collapsed="false" customFormat="false" customHeight="false" hidden="false" ht="25.5" outlineLevel="0" r="42">
      <c r="A42" s="120" t="n">
        <v>40402</v>
      </c>
      <c r="B42" s="0" t="s">
        <v>108</v>
      </c>
      <c r="C42" s="0" t="n">
        <v>3.54</v>
      </c>
      <c r="D42" s="0" t="n">
        <v>352.698</v>
      </c>
      <c r="E42" s="0" t="n">
        <v>26.89</v>
      </c>
      <c r="F42" s="0" t="n">
        <v>2654</v>
      </c>
      <c r="G42" s="0" t="n">
        <v>17.5</v>
      </c>
      <c r="I42" s="121" t="n">
        <f aca="false">(-((TAN(E42*PI()/180))/(TAN(($B$7+($B$14*(G42-$E$7)))*PI()/180))*($H$13+($B$15*(G42-$E$8)))+(TAN(E42*PI()/180))/(TAN(($B$7+($B$14*(G42-$E$7)))*PI()/180))*1/$B$16*($H$13+($B$15*(G42-$E$8)))-$B$13*1/$B$16*($H$13+($B$15*(G42-$E$8)))-($H$13+($B$15*(G42-$E$8)))+$B$13*($H$13+($B$15*(G42-$E$8))))+(WURZEL((POTENZ(((TAN(E42*PI()/180))/(TAN(($B$7+($B$14*(G42-$E$7)))*PI()/180))*($H$13+($B$15*(G42-$E$8)))+(TAN(E42*PI()/180))/(TAN(($B$7+($B$14*(G42-$E$7)))*PI()/180))*1/$B$16*($H$13+($B$15*(G42-$E$8)))-$B$13*1/$B$16*($H$13+($B$15*(G42-$E$8)))-($H$13+($B$15*(G42-$E$8)))+$B$13*($H$13+($B$15*(G42-$E$8)))),2))-4*((TAN(E42*PI()/180))/(TAN(($B$7+($B$14*(G42-$E$7)))*PI()/180))*1/$B$16*POTENZ(($H$13+($B$15*(G42-$E$8))),2))*((TAN(E42*PI()/180))/(TAN(($B$7+($B$14*(G42-$E$7)))*PI()/180))-1))))/(2*((TAN(E42*PI()/180))/(TAN(($B$7+($B$14*(G42-$E$7)))*PI()/180))*1/$B$16*POTENZ(($H$13+($B$15*(G42-$E$8))),2)))</f>
        <v>117.634766483388</v>
      </c>
      <c r="J42" s="122" t="n">
        <f aca="false">I42*20.9/100</f>
        <v>24.585666195028</v>
      </c>
      <c r="K42" s="82" t="n">
        <f aca="false">($B$9-EXP(52.57-6690.9/(273.15+G42)-4.681*LN(273.15+G42)))*I42/100*0.2095</f>
        <v>244.706872273428</v>
      </c>
      <c r="L42" s="82" t="n">
        <f aca="false">K42/1.33322</f>
        <v>183.545755594297</v>
      </c>
      <c r="M42" s="121" t="n">
        <f aca="false">(($B$9-EXP(52.57-6690.9/(273.15+G42)-4.681*LN(273.15+G42)))/1013)*I42/100*0.2095*((49-1.335*G42+0.02759*POTENZ(G42,2)-0.0003235*POTENZ(G42,3)+0.000001614*POTENZ(G42,4))-($J$16*(5.516*10^-1-1.759*10^-2*G42+2.253*10^-4*POTENZ(G42,2)-2.654*10^-7*POTENZ(G42,3)+5.363*10^-8*POTENZ(G42,4))))*32/22.414</f>
        <v>9.2654602524296</v>
      </c>
      <c r="N42" s="121" t="n">
        <f aca="false">M42*31.25</f>
        <v>289.545632888425</v>
      </c>
      <c r="P42" s="58"/>
      <c r="Q42" s="115" t="s">
        <v>109</v>
      </c>
      <c r="R42" s="115" t="s">
        <v>110</v>
      </c>
    </row>
    <row collapsed="false" customFormat="false" customHeight="false" hidden="false" ht="25.5" outlineLevel="0" r="43">
      <c r="A43" s="120" t="n">
        <v>40402</v>
      </c>
      <c r="B43" s="0" t="s">
        <v>111</v>
      </c>
      <c r="C43" s="0" t="n">
        <v>3.706</v>
      </c>
      <c r="D43" s="0" t="n">
        <v>357.289</v>
      </c>
      <c r="E43" s="0" t="n">
        <v>26.75</v>
      </c>
      <c r="F43" s="0" t="n">
        <v>2658</v>
      </c>
      <c r="G43" s="0" t="n">
        <v>17.5</v>
      </c>
      <c r="I43" s="121" t="n">
        <f aca="false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WURZEL((POTENZ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TENZ(($H$13+($B$15*(G43-$E$8))),2))*((TAN(E43*PI()/180))/(TAN(($B$7+($B$14*(G43-$E$7)))*PI()/180))-1))))/(2*((TAN(E43*PI()/180))/(TAN(($B$7+($B$14*(G43-$E$7)))*PI()/180))*1/$B$16*POTENZ(($H$13+($B$15*(G43-$E$8))),2)))</f>
        <v>119.166138901877</v>
      </c>
      <c r="J43" s="122" t="n">
        <f aca="false">I43*20.9/100</f>
        <v>24.9057230304923</v>
      </c>
      <c r="K43" s="82" t="n">
        <f aca="false">($B$9-EXP(52.57-6690.9/(273.15+G43)-4.681*LN(273.15+G43)))*I43/100*0.2095</f>
        <v>247.892472636457</v>
      </c>
      <c r="L43" s="82" t="n">
        <f aca="false">K43/1.33322</f>
        <v>185.935158965855</v>
      </c>
      <c r="M43" s="121" t="n">
        <f aca="false">(($B$9-EXP(52.57-6690.9/(273.15+G43)-4.681*LN(273.15+G43)))/1013)*I43/100*0.2095*((49-1.335*G43+0.02759*POTENZ(G43,2)-0.0003235*POTENZ(G43,3)+0.000001614*POTENZ(G43,4))-($J$16*(5.516*10^-1-1.759*10^-2*G43+2.253*10^-4*POTENZ(G43,2)-2.654*10^-7*POTENZ(G43,3)+5.363*10^-8*POTENZ(G43,4))))*32/22.414</f>
        <v>9.38607825252724</v>
      </c>
      <c r="N43" s="121" t="n">
        <f aca="false">M43*31.25</f>
        <v>293.314945391476</v>
      </c>
      <c r="P43" s="115" t="s">
        <v>112</v>
      </c>
      <c r="Q43" s="58" t="n">
        <f aca="false">0.0743*80+289.57</f>
        <v>295.514</v>
      </c>
      <c r="R43" s="115" t="s">
        <v>113</v>
      </c>
    </row>
    <row collapsed="false" customFormat="false" customHeight="false" hidden="false" ht="25.5" outlineLevel="0" r="44">
      <c r="A44" s="120" t="n">
        <v>40402</v>
      </c>
      <c r="B44" s="0" t="s">
        <v>114</v>
      </c>
      <c r="C44" s="0" t="n">
        <v>3.873</v>
      </c>
      <c r="D44" s="0" t="n">
        <v>353.675</v>
      </c>
      <c r="E44" s="0" t="n">
        <v>26.86</v>
      </c>
      <c r="F44" s="0" t="n">
        <v>2663</v>
      </c>
      <c r="G44" s="0" t="n">
        <v>17.5</v>
      </c>
      <c r="I44" s="121" t="n">
        <f aca="false">(-((TAN(E44*PI()/180))/(TAN(($B$7+($B$14*(G44-$E$7)))*PI()/180))*($H$13+($B$15*(G44-$E$8)))+(TAN(E44*PI()/180))/(TAN(($B$7+($B$14*(G44-$E$7)))*PI()/180))*1/$B$16*($H$13+($B$15*(G44-$E$8)))-$B$13*1/$B$16*($H$13+($B$15*(G44-$E$8)))-($H$13+($B$15*(G44-$E$8)))+$B$13*($H$13+($B$15*(G44-$E$8))))+(WURZEL((POTENZ(((TAN(E44*PI()/180))/(TAN(($B$7+($B$14*(G44-$E$7)))*PI()/180))*($H$13+($B$15*(G44-$E$8)))+(TAN(E44*PI()/180))/(TAN(($B$7+($B$14*(G44-$E$7)))*PI()/180))*1/$B$16*($H$13+($B$15*(G44-$E$8)))-$B$13*1/$B$16*($H$13+($B$15*(G44-$E$8)))-($H$13+($B$15*(G44-$E$8)))+$B$13*($H$13+($B$15*(G44-$E$8)))),2))-4*((TAN(E44*PI()/180))/(TAN(($B$7+($B$14*(G44-$E$7)))*PI()/180))*1/$B$16*POTENZ(($H$13+($B$15*(G44-$E$8))),2))*((TAN(E44*PI()/180))/(TAN(($B$7+($B$14*(G44-$E$7)))*PI()/180))-1))))/(2*((TAN(E44*PI()/180))/(TAN(($B$7+($B$14*(G44-$E$7)))*PI()/180))*1/$B$16*POTENZ(($H$13+($B$15*(G44-$E$8))),2)))</f>
        <v>117.960918804027</v>
      </c>
      <c r="J44" s="122" t="n">
        <f aca="false">I44*20.9/100</f>
        <v>24.6538320300417</v>
      </c>
      <c r="K44" s="82" t="n">
        <f aca="false">($B$9-EXP(52.57-6690.9/(273.15+G44)-4.681*LN(273.15+G44)))*I44/100*0.2095</f>
        <v>245.385342734622</v>
      </c>
      <c r="L44" s="82" t="n">
        <f aca="false">K44/1.33322</f>
        <v>184.054651696361</v>
      </c>
      <c r="M44" s="121" t="n">
        <f aca="false">(($B$9-EXP(52.57-6690.9/(273.15+G44)-4.681*LN(273.15+G44)))/1013)*I44/100*0.2095*((49-1.335*G44+0.02759*POTENZ(G44,2)-0.0003235*POTENZ(G44,3)+0.000001614*POTENZ(G44,4))-($J$16*(5.516*10^-1-1.759*10^-2*G44+2.253*10^-4*POTENZ(G44,2)-2.654*10^-7*POTENZ(G44,3)+5.363*10^-8*POTENZ(G44,4))))*32/22.414</f>
        <v>9.2911495231568</v>
      </c>
      <c r="N44" s="121" t="n">
        <f aca="false">M44*31.25</f>
        <v>290.34842259865</v>
      </c>
      <c r="P44" s="115" t="s">
        <v>115</v>
      </c>
      <c r="Q44" s="58" t="n">
        <f aca="false">0.0743*20+289.57</f>
        <v>291.056</v>
      </c>
      <c r="R44" s="115" t="s">
        <v>116</v>
      </c>
    </row>
    <row collapsed="false" customFormat="false" customHeight="false" hidden="false" ht="38.25" outlineLevel="0" r="45">
      <c r="A45" s="120" t="n">
        <v>40402</v>
      </c>
      <c r="B45" s="0" t="s">
        <v>117</v>
      </c>
      <c r="C45" s="0" t="n">
        <v>4.04</v>
      </c>
      <c r="D45" s="0" t="n">
        <v>356.629</v>
      </c>
      <c r="E45" s="0" t="n">
        <v>26.77</v>
      </c>
      <c r="F45" s="0" t="n">
        <v>2653</v>
      </c>
      <c r="G45" s="0" t="n">
        <v>17.5</v>
      </c>
      <c r="I45" s="121" t="n">
        <f aca="false">(-((TAN(E45*PI()/180))/(TAN(($B$7+($B$14*(G45-$E$7)))*PI()/180))*($H$13+($B$15*(G45-$E$8)))+(TAN(E45*PI()/180))/(TAN(($B$7+($B$14*(G45-$E$7)))*PI()/180))*1/$B$16*($H$13+($B$15*(G45-$E$8)))-$B$13*1/$B$16*($H$13+($B$15*(G45-$E$8)))-($H$13+($B$15*(G45-$E$8)))+$B$13*($H$13+($B$15*(G45-$E$8))))+(WURZEL((POTENZ(((TAN(E45*PI()/180))/(TAN(($B$7+($B$14*(G45-$E$7)))*PI()/180))*($H$13+($B$15*(G45-$E$8)))+(TAN(E45*PI()/180))/(TAN(($B$7+($B$14*(G45-$E$7)))*PI()/180))*1/$B$16*($H$13+($B$15*(G45-$E$8)))-$B$13*1/$B$16*($H$13+($B$15*(G45-$E$8)))-($H$13+($B$15*(G45-$E$8)))+$B$13*($H$13+($B$15*(G45-$E$8)))),2))-4*((TAN(E45*PI()/180))/(TAN(($B$7+($B$14*(G45-$E$7)))*PI()/180))*1/$B$16*POTENZ(($H$13+($B$15*(G45-$E$8))),2))*((TAN(E45*PI()/180))/(TAN(($B$7+($B$14*(G45-$E$7)))*PI()/180))-1))))/(2*((TAN(E45*PI()/180))/(TAN(($B$7+($B$14*(G45-$E$7)))*PI()/180))*1/$B$16*POTENZ(($H$13+($B$15*(G45-$E$8))),2)))</f>
        <v>118.945911441601</v>
      </c>
      <c r="J45" s="122" t="n">
        <f aca="false">I45*20.9/100</f>
        <v>24.8596954912947</v>
      </c>
      <c r="K45" s="82" t="n">
        <f aca="false">($B$9-EXP(52.57-6690.9/(273.15+G45)-4.681*LN(273.15+G45)))*I45/100*0.2095</f>
        <v>247.434349799104</v>
      </c>
      <c r="L45" s="82" t="n">
        <f aca="false">K45/1.33322</f>
        <v>185.591537630026</v>
      </c>
      <c r="M45" s="121" t="n">
        <f aca="false">(($B$9-EXP(52.57-6690.9/(273.15+G45)-4.681*LN(273.15+G45)))/1013)*I45/100*0.2095*((49-1.335*G45+0.02759*POTENZ(G45,2)-0.0003235*POTENZ(G45,3)+0.000001614*POTENZ(G45,4))-($J$16*(5.516*10^-1-1.759*10^-2*G45+2.253*10^-4*POTENZ(G45,2)-2.654*10^-7*POTENZ(G45,3)+5.363*10^-8*POTENZ(G45,4))))*32/22.414</f>
        <v>9.36873211549073</v>
      </c>
      <c r="N45" s="121" t="n">
        <f aca="false">M45*31.25</f>
        <v>292.772878609085</v>
      </c>
      <c r="P45" s="115" t="s">
        <v>118</v>
      </c>
      <c r="Q45" s="130" t="n">
        <f aca="false">Q43-Q44</f>
        <v>4.45800000000003</v>
      </c>
      <c r="R45" s="115" t="s">
        <v>119</v>
      </c>
    </row>
    <row collapsed="false" customFormat="false" customHeight="true" hidden="false" ht="39" outlineLevel="0" r="46">
      <c r="A46" s="120" t="n">
        <v>40402</v>
      </c>
      <c r="B46" s="0" t="s">
        <v>120</v>
      </c>
      <c r="C46" s="0" t="n">
        <v>4.207</v>
      </c>
      <c r="D46" s="0" t="n">
        <v>355.313</v>
      </c>
      <c r="E46" s="0" t="n">
        <v>26.81</v>
      </c>
      <c r="F46" s="0" t="n">
        <v>2659</v>
      </c>
      <c r="G46" s="0" t="n">
        <v>17.5</v>
      </c>
      <c r="I46" s="121" t="n">
        <f aca="false">(-((TAN(E46*PI()/180))/(TAN(($B$7+($B$14*(G46-$E$7)))*PI()/180))*($H$13+($B$15*(G46-$E$8)))+(TAN(E46*PI()/180))/(TAN(($B$7+($B$14*(G46-$E$7)))*PI()/180))*1/$B$16*($H$13+($B$15*(G46-$E$8)))-$B$13*1/$B$16*($H$13+($B$15*(G46-$E$8)))-($H$13+($B$15*(G46-$E$8)))+$B$13*($H$13+($B$15*(G46-$E$8))))+(WURZEL((POTENZ(((TAN(E46*PI()/180))/(TAN(($B$7+($B$14*(G46-$E$7)))*PI()/180))*($H$13+($B$15*(G46-$E$8)))+(TAN(E46*PI()/180))/(TAN(($B$7+($B$14*(G46-$E$7)))*PI()/180))*1/$B$16*($H$13+($B$15*(G46-$E$8)))-$B$13*1/$B$16*($H$13+($B$15*(G46-$E$8)))-($H$13+($B$15*(G46-$E$8)))+$B$13*($H$13+($B$15*(G46-$E$8)))),2))-4*((TAN(E46*PI()/180))/(TAN(($B$7+($B$14*(G46-$E$7)))*PI()/180))*1/$B$16*POTENZ(($H$13+($B$15*(G46-$E$8))),2))*((TAN(E46*PI()/180))/(TAN(($B$7+($B$14*(G46-$E$7)))*PI()/180))-1))))/(2*((TAN(E46*PI()/180))/(TAN(($B$7+($B$14*(G46-$E$7)))*PI()/180))*1/$B$16*POTENZ(($H$13+($B$15*(G46-$E$8))),2)))</f>
        <v>118.506922030954</v>
      </c>
      <c r="J46" s="122" t="n">
        <f aca="false">I46*20.9/100</f>
        <v>24.7679467044694</v>
      </c>
      <c r="K46" s="82" t="n">
        <f aca="false">($B$9-EXP(52.57-6690.9/(273.15+G46)-4.681*LN(273.15+G46)))*I46/100*0.2095</f>
        <v>246.521152715861</v>
      </c>
      <c r="L46" s="82" t="n">
        <f aca="false">K46/1.33322</f>
        <v>184.906581596331</v>
      </c>
      <c r="M46" s="121" t="n">
        <f aca="false">(($B$9-EXP(52.57-6690.9/(273.15+G46)-4.681*LN(273.15+G46)))/1013)*I46/100*0.2095*((49-1.335*G46+0.02759*POTENZ(G46,2)-0.0003235*POTENZ(G46,3)+0.000001614*POTENZ(G46,4))-($J$16*(5.516*10^-1-1.759*10^-2*G46+2.253*10^-4*POTENZ(G46,2)-2.654*10^-7*POTENZ(G46,3)+5.363*10^-8*POTENZ(G46,4))))*32/22.414</f>
        <v>9.33415527178048</v>
      </c>
      <c r="N46" s="121" t="n">
        <f aca="false">M46*31.25</f>
        <v>291.69235224314</v>
      </c>
      <c r="P46" s="131" t="s">
        <v>121</v>
      </c>
      <c r="Q46" s="58"/>
      <c r="R46" s="58"/>
    </row>
    <row collapsed="false" customFormat="false" customHeight="true" hidden="false" ht="40.5" outlineLevel="0" r="47">
      <c r="A47" s="120" t="n">
        <v>40402</v>
      </c>
      <c r="B47" s="0" t="s">
        <v>122</v>
      </c>
      <c r="C47" s="0" t="n">
        <v>4.374</v>
      </c>
      <c r="D47" s="0" t="n">
        <v>355.97</v>
      </c>
      <c r="E47" s="0" t="n">
        <v>26.79</v>
      </c>
      <c r="F47" s="0" t="n">
        <v>2653</v>
      </c>
      <c r="G47" s="0" t="n">
        <v>17.5</v>
      </c>
      <c r="I47" s="121" t="n">
        <f aca="false">(-((TAN(E47*PI()/180))/(TAN(($B$7+($B$14*(G47-$E$7)))*PI()/180))*($H$13+($B$15*(G47-$E$8)))+(TAN(E47*PI()/180))/(TAN(($B$7+($B$14*(G47-$E$7)))*PI()/180))*1/$B$16*($H$13+($B$15*(G47-$E$8)))-$B$13*1/$B$16*($H$13+($B$15*(G47-$E$8)))-($H$13+($B$15*(G47-$E$8)))+$B$13*($H$13+($B$15*(G47-$E$8))))+(WURZEL((POTENZ(((TAN(E47*PI()/180))/(TAN(($B$7+($B$14*(G47-$E$7)))*PI()/180))*($H$13+($B$15*(G47-$E$8)))+(TAN(E47*PI()/180))/(TAN(($B$7+($B$14*(G47-$E$7)))*PI()/180))*1/$B$16*($H$13+($B$15*(G47-$E$8)))-$B$13*1/$B$16*($H$13+($B$15*(G47-$E$8)))-($H$13+($B$15*(G47-$E$8)))+$B$13*($H$13+($B$15*(G47-$E$8)))),2))-4*((TAN(E47*PI()/180))/(TAN(($B$7+($B$14*(G47-$E$7)))*PI()/180))*1/$B$16*POTENZ(($H$13+($B$15*(G47-$E$8))),2))*((TAN(E47*PI()/180))/(TAN(($B$7+($B$14*(G47-$E$7)))*PI()/180))-1))))/(2*((TAN(E47*PI()/180))/(TAN(($B$7+($B$14*(G47-$E$7)))*PI()/180))*1/$B$16*POTENZ(($H$13+($B$15*(G47-$E$8))),2)))</f>
        <v>118.72617294797</v>
      </c>
      <c r="J47" s="122" t="n">
        <f aca="false">I47*20.9/100</f>
        <v>24.8137701461256</v>
      </c>
      <c r="K47" s="82" t="n">
        <f aca="false">($B$9-EXP(52.57-6690.9/(273.15+G47)-4.681*LN(273.15+G47)))*I47/100*0.2095</f>
        <v>246.977244122762</v>
      </c>
      <c r="L47" s="82" t="n">
        <f aca="false">K47/1.33322</f>
        <v>185.248679229806</v>
      </c>
      <c r="M47" s="121" t="n">
        <f aca="false">(($B$9-EXP(52.57-6690.9/(273.15+G47)-4.681*LN(273.15+G47)))/1013)*I47/100*0.2095*((49-1.335*G47+0.02759*POTENZ(G47,2)-0.0003235*POTENZ(G47,3)+0.000001614*POTENZ(G47,4))-($J$16*(5.516*10^-1-1.759*10^-2*G47+2.253*10^-4*POTENZ(G47,2)-2.654*10^-7*POTENZ(G47,3)+5.363*10^-8*POTENZ(G47,4))))*32/22.414</f>
        <v>9.35142449173683</v>
      </c>
      <c r="N47" s="121" t="n">
        <f aca="false">M47*31.25</f>
        <v>292.232015366776</v>
      </c>
    </row>
    <row collapsed="false" customFormat="false" customHeight="false" hidden="false" ht="12.75" outlineLevel="0" r="48">
      <c r="A48" s="120" t="n">
        <v>40402</v>
      </c>
      <c r="B48" s="0" t="s">
        <v>123</v>
      </c>
      <c r="C48" s="0" t="n">
        <v>4.541</v>
      </c>
      <c r="D48" s="0" t="n">
        <v>355.97</v>
      </c>
      <c r="E48" s="0" t="n">
        <v>26.79</v>
      </c>
      <c r="F48" s="0" t="n">
        <v>2654</v>
      </c>
      <c r="G48" s="0" t="n">
        <v>17.5</v>
      </c>
      <c r="I48" s="121" t="n">
        <f aca="false">(-((TAN(E48*PI()/180))/(TAN(($B$7+($B$14*(G48-$E$7)))*PI()/180))*($H$13+($B$15*(G48-$E$8)))+(TAN(E48*PI()/180))/(TAN(($B$7+($B$14*(G48-$E$7)))*PI()/180))*1/$B$16*($H$13+($B$15*(G48-$E$8)))-$B$13*1/$B$16*($H$13+($B$15*(G48-$E$8)))-($H$13+($B$15*(G48-$E$8)))+$B$13*($H$13+($B$15*(G48-$E$8))))+(WURZEL((POTENZ(((TAN(E48*PI()/180))/(TAN(($B$7+($B$14*(G48-$E$7)))*PI()/180))*($H$13+($B$15*(G48-$E$8)))+(TAN(E48*PI()/180))/(TAN(($B$7+($B$14*(G48-$E$7)))*PI()/180))*1/$B$16*($H$13+($B$15*(G48-$E$8)))-$B$13*1/$B$16*($H$13+($B$15*(G48-$E$8)))-($H$13+($B$15*(G48-$E$8)))+$B$13*($H$13+($B$15*(G48-$E$8)))),2))-4*((TAN(E48*PI()/180))/(TAN(($B$7+($B$14*(G48-$E$7)))*PI()/180))*1/$B$16*POTENZ(($H$13+($B$15*(G48-$E$8))),2))*((TAN(E48*PI()/180))/(TAN(($B$7+($B$14*(G48-$E$7)))*PI()/180))-1))))/(2*((TAN(E48*PI()/180))/(TAN(($B$7+($B$14*(G48-$E$7)))*PI()/180))*1/$B$16*POTENZ(($H$13+($B$15*(G48-$E$8))),2)))</f>
        <v>118.72617294797</v>
      </c>
      <c r="J48" s="122" t="n">
        <f aca="false">I48*20.9/100</f>
        <v>24.8137701461256</v>
      </c>
      <c r="K48" s="82" t="n">
        <f aca="false">($B$9-EXP(52.57-6690.9/(273.15+G48)-4.681*LN(273.15+G48)))*I48/100*0.2095</f>
        <v>246.977244122762</v>
      </c>
      <c r="L48" s="82" t="n">
        <f aca="false">K48/1.33322</f>
        <v>185.248679229806</v>
      </c>
      <c r="M48" s="121" t="n">
        <f aca="false">(($B$9-EXP(52.57-6690.9/(273.15+G48)-4.681*LN(273.15+G48)))/1013)*I48/100*0.2095*((49-1.335*G48+0.02759*POTENZ(G48,2)-0.0003235*POTENZ(G48,3)+0.000001614*POTENZ(G48,4))-($J$16*(5.516*10^-1-1.759*10^-2*G48+2.253*10^-4*POTENZ(G48,2)-2.654*10^-7*POTENZ(G48,3)+5.363*10^-8*POTENZ(G48,4))))*32/22.414</f>
        <v>9.35142449173683</v>
      </c>
      <c r="N48" s="121" t="n">
        <f aca="false">M48*31.25</f>
        <v>292.232015366776</v>
      </c>
    </row>
    <row collapsed="false" customFormat="false" customHeight="false" hidden="false" ht="12.75" outlineLevel="0" r="49">
      <c r="A49" s="120" t="n">
        <v>40402</v>
      </c>
      <c r="B49" s="0" t="s">
        <v>124</v>
      </c>
      <c r="C49" s="0" t="n">
        <v>4.708</v>
      </c>
      <c r="D49" s="0" t="n">
        <v>354.984</v>
      </c>
      <c r="E49" s="0" t="n">
        <v>26.82</v>
      </c>
      <c r="F49" s="0" t="n">
        <v>2655</v>
      </c>
      <c r="G49" s="0" t="n">
        <v>17.5</v>
      </c>
      <c r="I49" s="121" t="n">
        <f aca="false">(-((TAN(E49*PI()/180))/(TAN(($B$7+($B$14*(G49-$E$7)))*PI()/180))*($H$13+($B$15*(G49-$E$8)))+(TAN(E49*PI()/180))/(TAN(($B$7+($B$14*(G49-$E$7)))*PI()/180))*1/$B$16*($H$13+($B$15*(G49-$E$8)))-$B$13*1/$B$16*($H$13+($B$15*(G49-$E$8)))-($H$13+($B$15*(G49-$E$8)))+$B$13*($H$13+($B$15*(G49-$E$8))))+(WURZEL((POTENZ(((TAN(E49*PI()/180))/(TAN(($B$7+($B$14*(G49-$E$7)))*PI()/180))*($H$13+($B$15*(G49-$E$8)))+(TAN(E49*PI()/180))/(TAN(($B$7+($B$14*(G49-$E$7)))*PI()/180))*1/$B$16*($H$13+($B$15*(G49-$E$8)))-$B$13*1/$B$16*($H$13+($B$15*(G49-$E$8)))-($H$13+($B$15*(G49-$E$8)))+$B$13*($H$13+($B$15*(G49-$E$8)))),2))-4*((TAN(E49*PI()/180))/(TAN(($B$7+($B$14*(G49-$E$7)))*PI()/180))*1/$B$16*POTENZ(($H$13+($B$15*(G49-$E$8))),2))*((TAN(E49*PI()/180))/(TAN(($B$7+($B$14*(G49-$E$7)))*PI()/180))-1))))/(2*((TAN(E49*PI()/180))/(TAN(($B$7+($B$14*(G49-$E$7)))*PI()/180))*1/$B$16*POTENZ(($H$13+($B$15*(G49-$E$8))),2)))</f>
        <v>118.397478980507</v>
      </c>
      <c r="J49" s="122" t="n">
        <f aca="false">I49*20.9/100</f>
        <v>24.7450731069259</v>
      </c>
      <c r="K49" s="82" t="n">
        <f aca="false">($B$9-EXP(52.57-6690.9/(273.15+G49)-4.681*LN(273.15+G49)))*I49/100*0.2095</f>
        <v>246.293486462357</v>
      </c>
      <c r="L49" s="82" t="n">
        <f aca="false">K49/1.33322</f>
        <v>184.735817391246</v>
      </c>
      <c r="M49" s="121" t="n">
        <f aca="false">(($B$9-EXP(52.57-6690.9/(273.15+G49)-4.681*LN(273.15+G49)))/1013)*I49/100*0.2095*((49-1.335*G49+0.02759*POTENZ(G49,2)-0.0003235*POTENZ(G49,3)+0.000001614*POTENZ(G49,4))-($J$16*(5.516*10^-1-1.759*10^-2*G49+2.253*10^-4*POTENZ(G49,2)-2.654*10^-7*POTENZ(G49,3)+5.363*10^-8*POTENZ(G49,4))))*32/22.414</f>
        <v>9.32553502910785</v>
      </c>
      <c r="N49" s="121" t="n">
        <f aca="false">M49*31.25</f>
        <v>291.42296965962</v>
      </c>
    </row>
    <row collapsed="false" customFormat="false" customHeight="false" hidden="false" ht="12.75" outlineLevel="0" r="50">
      <c r="A50" s="120" t="n">
        <v>40402</v>
      </c>
      <c r="B50" s="0" t="s">
        <v>125</v>
      </c>
      <c r="C50" s="0" t="n">
        <v>4.875</v>
      </c>
      <c r="D50" s="0" t="n">
        <v>354.329</v>
      </c>
      <c r="E50" s="0" t="n">
        <v>26.84</v>
      </c>
      <c r="F50" s="0" t="n">
        <v>2649</v>
      </c>
      <c r="G50" s="0" t="n">
        <v>17.5</v>
      </c>
      <c r="I50" s="121" t="n">
        <f aca="false">(-((TAN(E50*PI()/180))/(TAN(($B$7+($B$14*(G50-$E$7)))*PI()/180))*($H$13+($B$15*(G50-$E$8)))+(TAN(E50*PI()/180))/(TAN(($B$7+($B$14*(G50-$E$7)))*PI()/180))*1/$B$16*($H$13+($B$15*(G50-$E$8)))-$B$13*1/$B$16*($H$13+($B$15*(G50-$E$8)))-($H$13+($B$15*(G50-$E$8)))+$B$13*($H$13+($B$15*(G50-$E$8))))+(WURZEL((POTENZ(((TAN(E50*PI()/180))/(TAN(($B$7+($B$14*(G50-$E$7)))*PI()/180))*($H$13+($B$15*(G50-$E$8)))+(TAN(E50*PI()/180))/(TAN(($B$7+($B$14*(G50-$E$7)))*PI()/180))*1/$B$16*($H$13+($B$15*(G50-$E$8)))-$B$13*1/$B$16*($H$13+($B$15*(G50-$E$8)))-($H$13+($B$15*(G50-$E$8)))+$B$13*($H$13+($B$15*(G50-$E$8)))),2))-4*((TAN(E50*PI()/180))/(TAN(($B$7+($B$14*(G50-$E$7)))*PI()/180))*1/$B$16*POTENZ(($H$13+($B$15*(G50-$E$8))),2))*((TAN(E50*PI()/180))/(TAN(($B$7+($B$14*(G50-$E$7)))*PI()/180))-1))))/(2*((TAN(E50*PI()/180))/(TAN(($B$7+($B$14*(G50-$E$7)))*PI()/180))*1/$B$16*POTENZ(($H$13+($B$15*(G50-$E$8))),2)))</f>
        <v>118.17895683181</v>
      </c>
      <c r="J50" s="122" t="n">
        <f aca="false">I50*20.9/100</f>
        <v>24.6994019778483</v>
      </c>
      <c r="K50" s="82" t="n">
        <f aca="false">($B$9-EXP(52.57-6690.9/(273.15+G50)-4.681*LN(273.15+G50)))*I50/100*0.2095</f>
        <v>245.83891105809</v>
      </c>
      <c r="L50" s="82" t="n">
        <f aca="false">K50/1.33322</f>
        <v>184.3948568564</v>
      </c>
      <c r="M50" s="121" t="n">
        <f aca="false">(($B$9-EXP(52.57-6690.9/(273.15+G50)-4.681*LN(273.15+G50)))/1013)*I50/100*0.2095*((49-1.335*G50+0.02759*POTENZ(G50,2)-0.0003235*POTENZ(G50,3)+0.000001614*POTENZ(G50,4))-($J$16*(5.516*10^-1-1.759*10^-2*G50+2.253*10^-4*POTENZ(G50,2)-2.654*10^-7*POTENZ(G50,3)+5.363*10^-8*POTENZ(G50,4))))*32/22.414</f>
        <v>9.30832321032711</v>
      </c>
      <c r="N50" s="121" t="n">
        <f aca="false">M50*31.25</f>
        <v>290.885100322722</v>
      </c>
    </row>
    <row collapsed="false" customFormat="false" customHeight="false" hidden="false" ht="12.75" outlineLevel="0" r="51">
      <c r="A51" s="120" t="n">
        <v>40402</v>
      </c>
      <c r="B51" s="0" t="s">
        <v>126</v>
      </c>
      <c r="C51" s="0" t="n">
        <v>5.042</v>
      </c>
      <c r="D51" s="0" t="n">
        <v>358.614</v>
      </c>
      <c r="E51" s="0" t="n">
        <v>26.71</v>
      </c>
      <c r="F51" s="0" t="n">
        <v>2660</v>
      </c>
      <c r="G51" s="0" t="n">
        <v>17.5</v>
      </c>
      <c r="I51" s="121" t="n">
        <f aca="false">(-((TAN(E51*PI()/180))/(TAN(($B$7+($B$14*(G51-$E$7)))*PI()/180))*($H$13+($B$15*(G51-$E$8)))+(TAN(E51*PI()/180))/(TAN(($B$7+($B$14*(G51-$E$7)))*PI()/180))*1/$B$16*($H$13+($B$15*(G51-$E$8)))-$B$13*1/$B$16*($H$13+($B$15*(G51-$E$8)))-($H$13+($B$15*(G51-$E$8)))+$B$13*($H$13+($B$15*(G51-$E$8))))+(WURZEL((POTENZ(((TAN(E51*PI()/180))/(TAN(($B$7+($B$14*(G51-$E$7)))*PI()/180))*($H$13+($B$15*(G51-$E$8)))+(TAN(E51*PI()/180))/(TAN(($B$7+($B$14*(G51-$E$7)))*PI()/180))*1/$B$16*($H$13+($B$15*(G51-$E$8)))-$B$13*1/$B$16*($H$13+($B$15*(G51-$E$8)))-($H$13+($B$15*(G51-$E$8)))+$B$13*($H$13+($B$15*(G51-$E$8)))),2))-4*((TAN(E51*PI()/180))/(TAN(($B$7+($B$14*(G51-$E$7)))*PI()/180))*1/$B$16*POTENZ(($H$13+($B$15*(G51-$E$8))),2))*((TAN(E51*PI()/180))/(TAN(($B$7+($B$14*(G51-$E$7)))*PI()/180))-1))))/(2*((TAN(E51*PI()/180))/(TAN(($B$7+($B$14*(G51-$E$7)))*PI()/180))*1/$B$16*POTENZ(($H$13+($B$15*(G51-$E$8))),2)))</f>
        <v>119.608066304731</v>
      </c>
      <c r="J51" s="122" t="n">
        <f aca="false">I51*20.9/100</f>
        <v>24.9980858576889</v>
      </c>
      <c r="K51" s="82" t="n">
        <f aca="false">($B$9-EXP(52.57-6690.9/(273.15+G51)-4.681*LN(273.15+G51)))*I51/100*0.2095</f>
        <v>248.811781406792</v>
      </c>
      <c r="L51" s="82" t="n">
        <f aca="false">K51/1.33322</f>
        <v>186.624699154522</v>
      </c>
      <c r="M51" s="121" t="n">
        <f aca="false">(($B$9-EXP(52.57-6690.9/(273.15+G51)-4.681*LN(273.15+G51)))/1013)*I51/100*0.2095*((49-1.335*G51+0.02759*POTENZ(G51,2)-0.0003235*POTENZ(G51,3)+0.000001614*POTENZ(G51,4))-($J$16*(5.516*10^-1-1.759*10^-2*G51+2.253*10^-4*POTENZ(G51,2)-2.654*10^-7*POTENZ(G51,3)+5.363*10^-8*POTENZ(G51,4))))*32/22.414</f>
        <v>9.42088650614149</v>
      </c>
      <c r="N51" s="121" t="n">
        <f aca="false">M51*31.25</f>
        <v>294.402703316922</v>
      </c>
    </row>
    <row collapsed="false" customFormat="false" customHeight="false" hidden="false" ht="12.75" outlineLevel="0" r="52">
      <c r="A52" s="120" t="n">
        <v>40402</v>
      </c>
      <c r="B52" s="0" t="s">
        <v>127</v>
      </c>
      <c r="C52" s="0" t="n">
        <v>5.209</v>
      </c>
      <c r="D52" s="0" t="n">
        <v>356.629</v>
      </c>
      <c r="E52" s="0" t="n">
        <v>26.77</v>
      </c>
      <c r="F52" s="0" t="n">
        <v>2653</v>
      </c>
      <c r="G52" s="0" t="n">
        <v>17.5</v>
      </c>
      <c r="I52" s="121" t="n">
        <f aca="false">(-((TAN(E52*PI()/180))/(TAN(($B$7+($B$14*(G52-$E$7)))*PI()/180))*($H$13+($B$15*(G52-$E$8)))+(TAN(E52*PI()/180))/(TAN(($B$7+($B$14*(G52-$E$7)))*PI()/180))*1/$B$16*($H$13+($B$15*(G52-$E$8)))-$B$13*1/$B$16*($H$13+($B$15*(G52-$E$8)))-($H$13+($B$15*(G52-$E$8)))+$B$13*($H$13+($B$15*(G52-$E$8))))+(WURZEL((POTENZ(((TAN(E52*PI()/180))/(TAN(($B$7+($B$14*(G52-$E$7)))*PI()/180))*($H$13+($B$15*(G52-$E$8)))+(TAN(E52*PI()/180))/(TAN(($B$7+($B$14*(G52-$E$7)))*PI()/180))*1/$B$16*($H$13+($B$15*(G52-$E$8)))-$B$13*1/$B$16*($H$13+($B$15*(G52-$E$8)))-($H$13+($B$15*(G52-$E$8)))+$B$13*($H$13+($B$15*(G52-$E$8)))),2))-4*((TAN(E52*PI()/180))/(TAN(($B$7+($B$14*(G52-$E$7)))*PI()/180))*1/$B$16*POTENZ(($H$13+($B$15*(G52-$E$8))),2))*((TAN(E52*PI()/180))/(TAN(($B$7+($B$14*(G52-$E$7)))*PI()/180))-1))))/(2*((TAN(E52*PI()/180))/(TAN(($B$7+($B$14*(G52-$E$7)))*PI()/180))*1/$B$16*POTENZ(($H$13+($B$15*(G52-$E$8))),2)))</f>
        <v>118.945911441601</v>
      </c>
      <c r="J52" s="122" t="n">
        <f aca="false">I52*20.9/100</f>
        <v>24.8596954912947</v>
      </c>
      <c r="K52" s="82" t="n">
        <f aca="false">($B$9-EXP(52.57-6690.9/(273.15+G52)-4.681*LN(273.15+G52)))*I52/100*0.2095</f>
        <v>247.434349799104</v>
      </c>
      <c r="L52" s="82" t="n">
        <f aca="false">K52/1.33322</f>
        <v>185.591537630026</v>
      </c>
      <c r="M52" s="121" t="n">
        <f aca="false">(($B$9-EXP(52.57-6690.9/(273.15+G52)-4.681*LN(273.15+G52)))/1013)*I52/100*0.2095*((49-1.335*G52+0.02759*POTENZ(G52,2)-0.0003235*POTENZ(G52,3)+0.000001614*POTENZ(G52,4))-($J$16*(5.516*10^-1-1.759*10^-2*G52+2.253*10^-4*POTENZ(G52,2)-2.654*10^-7*POTENZ(G52,3)+5.363*10^-8*POTENZ(G52,4))))*32/22.414</f>
        <v>9.36873211549073</v>
      </c>
      <c r="N52" s="121" t="n">
        <f aca="false">M52*31.25</f>
        <v>292.772878609085</v>
      </c>
    </row>
    <row collapsed="false" customFormat="false" customHeight="false" hidden="false" ht="12.75" outlineLevel="0" r="53">
      <c r="A53" s="120" t="n">
        <v>40402</v>
      </c>
      <c r="B53" s="0" t="s">
        <v>128</v>
      </c>
      <c r="C53" s="0" t="n">
        <v>5.376</v>
      </c>
      <c r="D53" s="0" t="n">
        <v>351.399</v>
      </c>
      <c r="E53" s="0" t="n">
        <v>26.93</v>
      </c>
      <c r="F53" s="0" t="n">
        <v>2657</v>
      </c>
      <c r="G53" s="0" t="n">
        <v>17.5</v>
      </c>
      <c r="I53" s="121" t="n">
        <f aca="false">(-((TAN(E53*PI()/180))/(TAN(($B$7+($B$14*(G53-$E$7)))*PI()/180))*($H$13+($B$15*(G53-$E$8)))+(TAN(E53*PI()/180))/(TAN(($B$7+($B$14*(G53-$E$7)))*PI()/180))*1/$B$16*($H$13+($B$15*(G53-$E$8)))-$B$13*1/$B$16*($H$13+($B$15*(G53-$E$8)))-($H$13+($B$15*(G53-$E$8)))+$B$13*($H$13+($B$15*(G53-$E$8))))+(WURZEL((POTENZ(((TAN(E53*PI()/180))/(TAN(($B$7+($B$14*(G53-$E$7)))*PI()/180))*($H$13+($B$15*(G53-$E$8)))+(TAN(E53*PI()/180))/(TAN(($B$7+($B$14*(G53-$E$7)))*PI()/180))*1/$B$16*($H$13+($B$15*(G53-$E$8)))-$B$13*1/$B$16*($H$13+($B$15*(G53-$E$8)))-($H$13+($B$15*(G53-$E$8)))+$B$13*($H$13+($B$15*(G53-$E$8)))),2))-4*((TAN(E53*PI()/180))/(TAN(($B$7+($B$14*(G53-$E$7)))*PI()/180))*1/$B$16*POTENZ(($H$13+($B$15*(G53-$E$8))),2))*((TAN(E53*PI()/180))/(TAN(($B$7+($B$14*(G53-$E$7)))*PI()/180))-1))))/(2*((TAN(E53*PI()/180))/(TAN(($B$7+($B$14*(G53-$E$7)))*PI()/180))*1/$B$16*POTENZ(($H$13+($B$15*(G53-$E$8))),2)))</f>
        <v>117.201578353094</v>
      </c>
      <c r="J53" s="122" t="n">
        <f aca="false">I53*20.9/100</f>
        <v>24.4951298757966</v>
      </c>
      <c r="K53" s="82" t="n">
        <f aca="false">($B$9-EXP(52.57-6690.9/(273.15+G53)-4.681*LN(273.15+G53)))*I53/100*0.2095</f>
        <v>243.805743163055</v>
      </c>
      <c r="L53" s="82" t="n">
        <f aca="false">K53/1.33322</f>
        <v>182.869851309652</v>
      </c>
      <c r="M53" s="121" t="n">
        <f aca="false">(($B$9-EXP(52.57-6690.9/(273.15+G53)-4.681*LN(273.15+G53)))/1013)*I53/100*0.2095*((49-1.335*G53+0.02759*POTENZ(G53,2)-0.0003235*POTENZ(G53,3)+0.000001614*POTENZ(G53,4))-($J$16*(5.516*10^-1-1.759*10^-2*G53+2.253*10^-4*POTENZ(G53,2)-2.654*10^-7*POTENZ(G53,3)+5.363*10^-8*POTENZ(G53,4))))*32/22.414</f>
        <v>9.2313403444887</v>
      </c>
      <c r="N53" s="121" t="n">
        <f aca="false">M53*31.25</f>
        <v>288.479385765272</v>
      </c>
    </row>
    <row collapsed="false" customFormat="false" customHeight="false" hidden="false" ht="12.75" outlineLevel="0" r="54">
      <c r="A54" s="120" t="n">
        <v>40402</v>
      </c>
      <c r="B54" s="0" t="s">
        <v>129</v>
      </c>
      <c r="C54" s="0" t="n">
        <v>5.542</v>
      </c>
      <c r="D54" s="0" t="n">
        <v>356.629</v>
      </c>
      <c r="E54" s="0" t="n">
        <v>26.77</v>
      </c>
      <c r="F54" s="0" t="n">
        <v>2647</v>
      </c>
      <c r="G54" s="0" t="n">
        <v>17.5</v>
      </c>
      <c r="I54" s="121" t="n">
        <f aca="false">(-((TAN(E54*PI()/180))/(TAN(($B$7+($B$14*(G54-$E$7)))*PI()/180))*($H$13+($B$15*(G54-$E$8)))+(TAN(E54*PI()/180))/(TAN(($B$7+($B$14*(G54-$E$7)))*PI()/180))*1/$B$16*($H$13+($B$15*(G54-$E$8)))-$B$13*1/$B$16*($H$13+($B$15*(G54-$E$8)))-($H$13+($B$15*(G54-$E$8)))+$B$13*($H$13+($B$15*(G54-$E$8))))+(WURZEL((POTENZ(((TAN(E54*PI()/180))/(TAN(($B$7+($B$14*(G54-$E$7)))*PI()/180))*($H$13+($B$15*(G54-$E$8)))+(TAN(E54*PI()/180))/(TAN(($B$7+($B$14*(G54-$E$7)))*PI()/180))*1/$B$16*($H$13+($B$15*(G54-$E$8)))-$B$13*1/$B$16*($H$13+($B$15*(G54-$E$8)))-($H$13+($B$15*(G54-$E$8)))+$B$13*($H$13+($B$15*(G54-$E$8)))),2))-4*((TAN(E54*PI()/180))/(TAN(($B$7+($B$14*(G54-$E$7)))*PI()/180))*1/$B$16*POTENZ(($H$13+($B$15*(G54-$E$8))),2))*((TAN(E54*PI()/180))/(TAN(($B$7+($B$14*(G54-$E$7)))*PI()/180))-1))))/(2*((TAN(E54*PI()/180))/(TAN(($B$7+($B$14*(G54-$E$7)))*PI()/180))*1/$B$16*POTENZ(($H$13+($B$15*(G54-$E$8))),2)))</f>
        <v>118.945911441601</v>
      </c>
      <c r="J54" s="122" t="n">
        <f aca="false">I54*20.9/100</f>
        <v>24.8596954912947</v>
      </c>
      <c r="K54" s="82" t="n">
        <f aca="false">($B$9-EXP(52.57-6690.9/(273.15+G54)-4.681*LN(273.15+G54)))*I54/100*0.2095</f>
        <v>247.434349799104</v>
      </c>
      <c r="L54" s="82" t="n">
        <f aca="false">K54/1.33322</f>
        <v>185.591537630026</v>
      </c>
      <c r="M54" s="121" t="n">
        <f aca="false">(($B$9-EXP(52.57-6690.9/(273.15+G54)-4.681*LN(273.15+G54)))/1013)*I54/100*0.2095*((49-1.335*G54+0.02759*POTENZ(G54,2)-0.0003235*POTENZ(G54,3)+0.000001614*POTENZ(G54,4))-($J$16*(5.516*10^-1-1.759*10^-2*G54+2.253*10^-4*POTENZ(G54,2)-2.654*10^-7*POTENZ(G54,3)+5.363*10^-8*POTENZ(G54,4))))*32/22.414</f>
        <v>9.36873211549073</v>
      </c>
      <c r="N54" s="121" t="n">
        <f aca="false">M54*31.25</f>
        <v>292.772878609085</v>
      </c>
    </row>
    <row collapsed="false" customFormat="false" customHeight="false" hidden="false" ht="12.75" outlineLevel="0" r="55">
      <c r="A55" s="120" t="n">
        <v>40402</v>
      </c>
      <c r="B55" s="0" t="s">
        <v>130</v>
      </c>
      <c r="C55" s="0" t="n">
        <v>5.709</v>
      </c>
      <c r="D55" s="0" t="n">
        <v>355.97</v>
      </c>
      <c r="E55" s="0" t="n">
        <v>26.79</v>
      </c>
      <c r="F55" s="0" t="n">
        <v>2650</v>
      </c>
      <c r="G55" s="0" t="n">
        <v>17.5</v>
      </c>
      <c r="I55" s="121" t="n">
        <f aca="false">(-((TAN(E55*PI()/180))/(TAN(($B$7+($B$14*(G55-$E$7)))*PI()/180))*($H$13+($B$15*(G55-$E$8)))+(TAN(E55*PI()/180))/(TAN(($B$7+($B$14*(G55-$E$7)))*PI()/180))*1/$B$16*($H$13+($B$15*(G55-$E$8)))-$B$13*1/$B$16*($H$13+($B$15*(G55-$E$8)))-($H$13+($B$15*(G55-$E$8)))+$B$13*($H$13+($B$15*(G55-$E$8))))+(WURZEL((POTENZ(((TAN(E55*PI()/180))/(TAN(($B$7+($B$14*(G55-$E$7)))*PI()/180))*($H$13+($B$15*(G55-$E$8)))+(TAN(E55*PI()/180))/(TAN(($B$7+($B$14*(G55-$E$7)))*PI()/180))*1/$B$16*($H$13+($B$15*(G55-$E$8)))-$B$13*1/$B$16*($H$13+($B$15*(G55-$E$8)))-($H$13+($B$15*(G55-$E$8)))+$B$13*($H$13+($B$15*(G55-$E$8)))),2))-4*((TAN(E55*PI()/180))/(TAN(($B$7+($B$14*(G55-$E$7)))*PI()/180))*1/$B$16*POTENZ(($H$13+($B$15*(G55-$E$8))),2))*((TAN(E55*PI()/180))/(TAN(($B$7+($B$14*(G55-$E$7)))*PI()/180))-1))))/(2*((TAN(E55*PI()/180))/(TAN(($B$7+($B$14*(G55-$E$7)))*PI()/180))*1/$B$16*POTENZ(($H$13+($B$15*(G55-$E$8))),2)))</f>
        <v>118.72617294797</v>
      </c>
      <c r="J55" s="122" t="n">
        <f aca="false">I55*20.9/100</f>
        <v>24.8137701461256</v>
      </c>
      <c r="K55" s="82" t="n">
        <f aca="false">($B$9-EXP(52.57-6690.9/(273.15+G55)-4.681*LN(273.15+G55)))*I55/100*0.2095</f>
        <v>246.977244122762</v>
      </c>
      <c r="L55" s="82" t="n">
        <f aca="false">K55/1.33322</f>
        <v>185.248679229806</v>
      </c>
      <c r="M55" s="121" t="n">
        <f aca="false">(($B$9-EXP(52.57-6690.9/(273.15+G55)-4.681*LN(273.15+G55)))/1013)*I55/100*0.2095*((49-1.335*G55+0.02759*POTENZ(G55,2)-0.0003235*POTENZ(G55,3)+0.000001614*POTENZ(G55,4))-($J$16*(5.516*10^-1-1.759*10^-2*G55+2.253*10^-4*POTENZ(G55,2)-2.654*10^-7*POTENZ(G55,3)+5.363*10^-8*POTENZ(G55,4))))*32/22.414</f>
        <v>9.35142449173683</v>
      </c>
      <c r="N55" s="121" t="n">
        <f aca="false">M55*31.25</f>
        <v>292.232015366776</v>
      </c>
    </row>
    <row collapsed="false" customFormat="false" customHeight="false" hidden="false" ht="12.75" outlineLevel="0" r="56">
      <c r="A56" s="120" t="n">
        <v>40402</v>
      </c>
      <c r="B56" s="0" t="s">
        <v>131</v>
      </c>
      <c r="C56" s="0" t="n">
        <v>5.876</v>
      </c>
      <c r="D56" s="0" t="n">
        <v>357.605</v>
      </c>
      <c r="E56" s="0" t="n">
        <v>26.7</v>
      </c>
      <c r="F56" s="0" t="n">
        <v>2650</v>
      </c>
      <c r="G56" s="0" t="n">
        <v>17.6</v>
      </c>
      <c r="I56" s="121" t="n">
        <f aca="false">(-((TAN(E56*PI()/180))/(TAN(($B$7+($B$14*(G56-$E$7)))*PI()/180))*($H$13+($B$15*(G56-$E$8)))+(TAN(E56*PI()/180))/(TAN(($B$7+($B$14*(G56-$E$7)))*PI()/180))*1/$B$16*($H$13+($B$15*(G56-$E$8)))-$B$13*1/$B$16*($H$13+($B$15*(G56-$E$8)))-($H$13+($B$15*(G56-$E$8)))+$B$13*($H$13+($B$15*(G56-$E$8))))+(WURZEL((POTENZ(((TAN(E56*PI()/180))/(TAN(($B$7+($B$14*(G56-$E$7)))*PI()/180))*($H$13+($B$15*(G56-$E$8)))+(TAN(E56*PI()/180))/(TAN(($B$7+($B$14*(G56-$E$7)))*PI()/180))*1/$B$16*($H$13+($B$15*(G56-$E$8)))-$B$13*1/$B$16*($H$13+($B$15*(G56-$E$8)))-($H$13+($B$15*(G56-$E$8)))+$B$13*($H$13+($B$15*(G56-$E$8)))),2))-4*((TAN(E56*PI()/180))/(TAN(($B$7+($B$14*(G56-$E$7)))*PI()/180))*1/$B$16*POTENZ(($H$13+($B$15*(G56-$E$8))),2))*((TAN(E56*PI()/180))/(TAN(($B$7+($B$14*(G56-$E$7)))*PI()/180))-1))))/(2*((TAN(E56*PI()/180))/(TAN(($B$7+($B$14*(G56-$E$7)))*PI()/180))*1/$B$16*POTENZ(($H$13+($B$15*(G56-$E$8))),2)))</f>
        <v>119.51778414774</v>
      </c>
      <c r="J56" s="122" t="n">
        <f aca="false">I56*20.9/100</f>
        <v>24.9792168868777</v>
      </c>
      <c r="K56" s="82" t="n">
        <f aca="false">($B$9-EXP(52.57-6690.9/(273.15+G56)-4.681*LN(273.15+G56)))*I56/100*0.2095</f>
        <v>248.592205714389</v>
      </c>
      <c r="L56" s="82" t="n">
        <f aca="false">K56/1.33322</f>
        <v>186.46000338608</v>
      </c>
      <c r="M56" s="121" t="n">
        <f aca="false">(($B$9-EXP(52.57-6690.9/(273.15+G56)-4.681*LN(273.15+G56)))/1013)*I56/100*0.2095*((49-1.335*G56+0.02759*POTENZ(G56,2)-0.0003235*POTENZ(G56,3)+0.000001614*POTENZ(G56,4))-($J$16*(5.516*10^-1-1.759*10^-2*G56+2.253*10^-4*POTENZ(G56,2)-2.654*10^-7*POTENZ(G56,3)+5.363*10^-8*POTENZ(G56,4))))*32/22.414</f>
        <v>9.39595357918668</v>
      </c>
      <c r="N56" s="121" t="n">
        <f aca="false">M56*31.25</f>
        <v>293.623549349584</v>
      </c>
    </row>
    <row collapsed="false" customFormat="false" customHeight="false" hidden="false" ht="12.75" outlineLevel="0" r="57">
      <c r="A57" s="120" t="n">
        <v>40402</v>
      </c>
      <c r="B57" s="0" t="s">
        <v>132</v>
      </c>
      <c r="C57" s="0" t="n">
        <v>6.043</v>
      </c>
      <c r="D57" s="0" t="n">
        <v>361.27</v>
      </c>
      <c r="E57" s="0" t="n">
        <v>26.59</v>
      </c>
      <c r="F57" s="0" t="n">
        <v>2646</v>
      </c>
      <c r="G57" s="0" t="n">
        <v>17.6</v>
      </c>
      <c r="I57" s="121" t="n">
        <f aca="false">(-((TAN(E57*PI()/180))/(TAN(($B$7+($B$14*(G57-$E$7)))*PI()/180))*($H$13+($B$15*(G57-$E$8)))+(TAN(E57*PI()/180))/(TAN(($B$7+($B$14*(G57-$E$7)))*PI()/180))*1/$B$16*($H$13+($B$15*(G57-$E$8)))-$B$13*1/$B$16*($H$13+($B$15*(G57-$E$8)))-($H$13+($B$15*(G57-$E$8)))+$B$13*($H$13+($B$15*(G57-$E$8))))+(WURZEL((POTENZ(((TAN(E57*PI()/180))/(TAN(($B$7+($B$14*(G57-$E$7)))*PI()/180))*($H$13+($B$15*(G57-$E$8)))+(TAN(E57*PI()/180))/(TAN(($B$7+($B$14*(G57-$E$7)))*PI()/180))*1/$B$16*($H$13+($B$15*(G57-$E$8)))-$B$13*1/$B$16*($H$13+($B$15*(G57-$E$8)))-($H$13+($B$15*(G57-$E$8)))+$B$13*($H$13+($B$15*(G57-$E$8)))),2))-4*((TAN(E57*PI()/180))/(TAN(($B$7+($B$14*(G57-$E$7)))*PI()/180))*1/$B$16*POTENZ(($H$13+($B$15*(G57-$E$8))),2))*((TAN(E57*PI()/180))/(TAN(($B$7+($B$14*(G57-$E$7)))*PI()/180))-1))))/(2*((TAN(E57*PI()/180))/(TAN(($B$7+($B$14*(G57-$E$7)))*PI()/180))*1/$B$16*POTENZ(($H$13+($B$15*(G57-$E$8))),2)))</f>
        <v>120.742660285281</v>
      </c>
      <c r="J57" s="122" t="n">
        <f aca="false">I57*20.9/100</f>
        <v>25.2352159996237</v>
      </c>
      <c r="K57" s="82" t="n">
        <f aca="false">($B$9-EXP(52.57-6690.9/(273.15+G57)-4.681*LN(273.15+G57)))*I57/100*0.2095</f>
        <v>251.139899038269</v>
      </c>
      <c r="L57" s="82" t="n">
        <f aca="false">K57/1.33322</f>
        <v>188.370935808245</v>
      </c>
      <c r="M57" s="121" t="n">
        <f aca="false">(($B$9-EXP(52.57-6690.9/(273.15+G57)-4.681*LN(273.15+G57)))/1013)*I57/100*0.2095*((49-1.335*G57+0.02759*POTENZ(G57,2)-0.0003235*POTENZ(G57,3)+0.000001614*POTENZ(G57,4))-($J$16*(5.516*10^-1-1.759*10^-2*G57+2.253*10^-4*POTENZ(G57,2)-2.654*10^-7*POTENZ(G57,3)+5.363*10^-8*POTENZ(G57,4))))*32/22.414</f>
        <v>9.49224786217269</v>
      </c>
      <c r="N57" s="121" t="n">
        <f aca="false">M57*31.25</f>
        <v>296.632745692896</v>
      </c>
    </row>
    <row collapsed="false" customFormat="false" customHeight="false" hidden="false" ht="12.75" outlineLevel="0" r="58">
      <c r="A58" s="120" t="n">
        <v>40402</v>
      </c>
      <c r="B58" s="0" t="s">
        <v>133</v>
      </c>
      <c r="C58" s="0" t="n">
        <v>6.21</v>
      </c>
      <c r="D58" s="0" t="n">
        <v>354.312</v>
      </c>
      <c r="E58" s="0" t="n">
        <v>26.8</v>
      </c>
      <c r="F58" s="0" t="n">
        <v>2653</v>
      </c>
      <c r="G58" s="0" t="n">
        <v>17.6</v>
      </c>
      <c r="I58" s="121" t="n">
        <f aca="false">(-((TAN(E58*PI()/180))/(TAN(($B$7+($B$14*(G58-$E$7)))*PI()/180))*($H$13+($B$15*(G58-$E$8)))+(TAN(E58*PI()/180))/(TAN(($B$7+($B$14*(G58-$E$7)))*PI()/180))*1/$B$16*($H$13+($B$15*(G58-$E$8)))-$B$13*1/$B$16*($H$13+($B$15*(G58-$E$8)))-($H$13+($B$15*(G58-$E$8)))+$B$13*($H$13+($B$15*(G58-$E$8))))+(WURZEL((POTENZ(((TAN(E58*PI()/180))/(TAN(($B$7+($B$14*(G58-$E$7)))*PI()/180))*($H$13+($B$15*(G58-$E$8)))+(TAN(E58*PI()/180))/(TAN(($B$7+($B$14*(G58-$E$7)))*PI()/180))*1/$B$16*($H$13+($B$15*(G58-$E$8)))-$B$13*1/$B$16*($H$13+($B$15*(G58-$E$8)))-($H$13+($B$15*(G58-$E$8)))+$B$13*($H$13+($B$15*(G58-$E$8)))),2))-4*((TAN(E58*PI()/180))/(TAN(($B$7+($B$14*(G58-$E$7)))*PI()/180))*1/$B$16*POTENZ(($H$13+($B$15*(G58-$E$8))),2))*((TAN(E58*PI()/180))/(TAN(($B$7+($B$14*(G58-$E$7)))*PI()/180))-1))))/(2*((TAN(E58*PI()/180))/(TAN(($B$7+($B$14*(G58-$E$7)))*PI()/180))*1/$B$16*POTENZ(($H$13+($B$15*(G58-$E$8))),2)))</f>
        <v>118.417210223401</v>
      </c>
      <c r="J58" s="122" t="n">
        <f aca="false">I58*20.9/100</f>
        <v>24.7491969366908</v>
      </c>
      <c r="K58" s="82" t="n">
        <f aca="false">($B$9-EXP(52.57-6690.9/(273.15+G58)-4.681*LN(273.15+G58)))*I58/100*0.2095</f>
        <v>246.303056017094</v>
      </c>
      <c r="L58" s="82" t="n">
        <f aca="false">K58/1.33322</f>
        <v>184.742995167409</v>
      </c>
      <c r="M58" s="121" t="n">
        <f aca="false">(($B$9-EXP(52.57-6690.9/(273.15+G58)-4.681*LN(273.15+G58)))/1013)*I58/100*0.2095*((49-1.335*G58+0.02759*POTENZ(G58,2)-0.0003235*POTENZ(G58,3)+0.000001614*POTENZ(G58,4))-($J$16*(5.516*10^-1-1.759*10^-2*G58+2.253*10^-4*POTENZ(G58,2)-2.654*10^-7*POTENZ(G58,3)+5.363*10^-8*POTENZ(G58,4))))*32/22.414</f>
        <v>9.30943138019098</v>
      </c>
      <c r="N58" s="121" t="n">
        <f aca="false">M58*31.25</f>
        <v>290.919730630968</v>
      </c>
    </row>
    <row collapsed="false" customFormat="false" customHeight="false" hidden="false" ht="12.75" outlineLevel="0" r="59">
      <c r="A59" s="120" t="n">
        <v>40402</v>
      </c>
      <c r="B59" s="0" t="s">
        <v>134</v>
      </c>
      <c r="C59" s="0" t="n">
        <v>6.377</v>
      </c>
      <c r="D59" s="0" t="n">
        <v>353.658</v>
      </c>
      <c r="E59" s="0" t="n">
        <v>26.82</v>
      </c>
      <c r="F59" s="0" t="n">
        <v>2649</v>
      </c>
      <c r="G59" s="0" t="n">
        <v>17.6</v>
      </c>
      <c r="I59" s="121" t="n">
        <f aca="false">(-((TAN(E59*PI()/180))/(TAN(($B$7+($B$14*(G59-$E$7)))*PI()/180))*($H$13+($B$15*(G59-$E$8)))+(TAN(E59*PI()/180))/(TAN(($B$7+($B$14*(G59-$E$7)))*PI()/180))*1/$B$16*($H$13+($B$15*(G59-$E$8)))-$B$13*1/$B$16*($H$13+($B$15*(G59-$E$8)))-($H$13+($B$15*(G59-$E$8)))+$B$13*($H$13+($B$15*(G59-$E$8))))+(WURZEL((POTENZ(((TAN(E59*PI()/180))/(TAN(($B$7+($B$14*(G59-$E$7)))*PI()/180))*($H$13+($B$15*(G59-$E$8)))+(TAN(E59*PI()/180))/(TAN(($B$7+($B$14*(G59-$E$7)))*PI()/180))*1/$B$16*($H$13+($B$15*(G59-$E$8)))-$B$13*1/$B$16*($H$13+($B$15*(G59-$E$8)))-($H$13+($B$15*(G59-$E$8)))+$B$13*($H$13+($B$15*(G59-$E$8)))),2))-4*((TAN(E59*PI()/180))/(TAN(($B$7+($B$14*(G59-$E$7)))*PI()/180))*1/$B$16*POTENZ(($H$13+($B$15*(G59-$E$8))),2))*((TAN(E59*PI()/180))/(TAN(($B$7+($B$14*(G59-$E$7)))*PI()/180))-1))))/(2*((TAN(E59*PI()/180))/(TAN(($B$7+($B$14*(G59-$E$7)))*PI()/180))*1/$B$16*POTENZ(($H$13+($B$15*(G59-$E$8))),2)))</f>
        <v>118.198559322728</v>
      </c>
      <c r="J59" s="122" t="n">
        <f aca="false">I59*20.9/100</f>
        <v>24.7034988984502</v>
      </c>
      <c r="K59" s="82" t="n">
        <f aca="false">($B$9-EXP(52.57-6690.9/(273.15+G59)-4.681*LN(273.15+G59)))*I59/100*0.2095</f>
        <v>245.848270898148</v>
      </c>
      <c r="L59" s="82" t="n">
        <f aca="false">K59/1.33322</f>
        <v>184.401877333184</v>
      </c>
      <c r="M59" s="121" t="n">
        <f aca="false">(($B$9-EXP(52.57-6690.9/(273.15+G59)-4.681*LN(273.15+G59)))/1013)*I59/100*0.2095*((49-1.335*G59+0.02759*POTENZ(G59,2)-0.0003235*POTENZ(G59,3)+0.000001614*POTENZ(G59,4))-($J$16*(5.516*10^-1-1.759*10^-2*G59+2.253*10^-4*POTENZ(G59,2)-2.654*10^-7*POTENZ(G59,3)+5.363*10^-8*POTENZ(G59,4))))*32/22.414</f>
        <v>9.29224202441921</v>
      </c>
      <c r="N59" s="121" t="n">
        <f aca="false">M59*31.25</f>
        <v>290.3825632631</v>
      </c>
    </row>
    <row collapsed="false" customFormat="false" customHeight="false" hidden="false" ht="12.75" outlineLevel="0" r="60">
      <c r="A60" s="120" t="n">
        <v>40402</v>
      </c>
      <c r="B60" s="0" t="s">
        <v>135</v>
      </c>
      <c r="C60" s="0" t="n">
        <v>6.527</v>
      </c>
      <c r="D60" s="0" t="n">
        <v>352.679</v>
      </c>
      <c r="E60" s="0" t="n">
        <v>26.85</v>
      </c>
      <c r="F60" s="0" t="n">
        <v>2645</v>
      </c>
      <c r="G60" s="0" t="n">
        <v>17.6</v>
      </c>
      <c r="I60" s="121" t="n">
        <f aca="false">(-((TAN(E60*PI()/180))/(TAN(($B$7+($B$14*(G60-$E$7)))*PI()/180))*($H$13+($B$15*(G60-$E$8)))+(TAN(E60*PI()/180))/(TAN(($B$7+($B$14*(G60-$E$7)))*PI()/180))*1/$B$16*($H$13+($B$15*(G60-$E$8)))-$B$13*1/$B$16*($H$13+($B$15*(G60-$E$8)))-($H$13+($B$15*(G60-$E$8)))+$B$13*($H$13+($B$15*(G60-$E$8))))+(WURZEL((POTENZ(((TAN(E60*PI()/180))/(TAN(($B$7+($B$14*(G60-$E$7)))*PI()/180))*($H$13+($B$15*(G60-$E$8)))+(TAN(E60*PI()/180))/(TAN(($B$7+($B$14*(G60-$E$7)))*PI()/180))*1/$B$16*($H$13+($B$15*(G60-$E$8)))-$B$13*1/$B$16*($H$13+($B$15*(G60-$E$8)))-($H$13+($B$15*(G60-$E$8)))+$B$13*($H$13+($B$15*(G60-$E$8)))),2))-4*((TAN(E60*PI()/180))/(TAN(($B$7+($B$14*(G60-$E$7)))*PI()/180))*1/$B$16*POTENZ(($H$13+($B$15*(G60-$E$8))),2))*((TAN(E60*PI()/180))/(TAN(($B$7+($B$14*(G60-$E$7)))*PI()/180))-1))))/(2*((TAN(E60*PI()/180))/(TAN(($B$7+($B$14*(G60-$E$7)))*PI()/180))*1/$B$16*POTENZ(($H$13+($B$15*(G60-$E$8))),2)))</f>
        <v>117.871491405894</v>
      </c>
      <c r="J60" s="122" t="n">
        <f aca="false">I60*20.9/100</f>
        <v>24.6351417038319</v>
      </c>
      <c r="K60" s="82" t="n">
        <f aca="false">($B$9-EXP(52.57-6690.9/(273.15+G60)-4.681*LN(273.15+G60)))*I60/100*0.2095</f>
        <v>245.167982726443</v>
      </c>
      <c r="L60" s="82" t="n">
        <f aca="false">K60/1.33322</f>
        <v>183.891617832348</v>
      </c>
      <c r="M60" s="121" t="n">
        <f aca="false">(($B$9-EXP(52.57-6690.9/(273.15+G60)-4.681*LN(273.15+G60)))/1013)*I60/100*0.2095*((49-1.335*G60+0.02759*POTENZ(G60,2)-0.0003235*POTENZ(G60,3)+0.000001614*POTENZ(G60,4))-($J$16*(5.516*10^-1-1.759*10^-2*G60+2.253*10^-4*POTENZ(G60,2)-2.654*10^-7*POTENZ(G60,3)+5.363*10^-8*POTENZ(G60,4))))*32/22.414</f>
        <v>9.26652940779294</v>
      </c>
      <c r="N60" s="121" t="n">
        <f aca="false">M60*31.25</f>
        <v>289.57904399353</v>
      </c>
    </row>
    <row collapsed="false" customFormat="false" customHeight="false" hidden="false" ht="12.75" outlineLevel="0" r="61">
      <c r="A61" s="120" t="n">
        <v>40402</v>
      </c>
      <c r="B61" s="0" t="s">
        <v>136</v>
      </c>
      <c r="C61" s="0" t="n">
        <v>6.694</v>
      </c>
      <c r="D61" s="0" t="n">
        <v>353.658</v>
      </c>
      <c r="E61" s="0" t="n">
        <v>26.82</v>
      </c>
      <c r="F61" s="0" t="n">
        <v>2650</v>
      </c>
      <c r="G61" s="0" t="n">
        <v>17.6</v>
      </c>
      <c r="I61" s="121" t="n">
        <f aca="false">(-((TAN(E61*PI()/180))/(TAN(($B$7+($B$14*(G61-$E$7)))*PI()/180))*($H$13+($B$15*(G61-$E$8)))+(TAN(E61*PI()/180))/(TAN(($B$7+($B$14*(G61-$E$7)))*PI()/180))*1/$B$16*($H$13+($B$15*(G61-$E$8)))-$B$13*1/$B$16*($H$13+($B$15*(G61-$E$8)))-($H$13+($B$15*(G61-$E$8)))+$B$13*($H$13+($B$15*(G61-$E$8))))+(WURZEL((POTENZ(((TAN(E61*PI()/180))/(TAN(($B$7+($B$14*(G61-$E$7)))*PI()/180))*($H$13+($B$15*(G61-$E$8)))+(TAN(E61*PI()/180))/(TAN(($B$7+($B$14*(G61-$E$7)))*PI()/180))*1/$B$16*($H$13+($B$15*(G61-$E$8)))-$B$13*1/$B$16*($H$13+($B$15*(G61-$E$8)))-($H$13+($B$15*(G61-$E$8)))+$B$13*($H$13+($B$15*(G61-$E$8)))),2))-4*((TAN(E61*PI()/180))/(TAN(($B$7+($B$14*(G61-$E$7)))*PI()/180))*1/$B$16*POTENZ(($H$13+($B$15*(G61-$E$8))),2))*((TAN(E61*PI()/180))/(TAN(($B$7+($B$14*(G61-$E$7)))*PI()/180))-1))))/(2*((TAN(E61*PI()/180))/(TAN(($B$7+($B$14*(G61-$E$7)))*PI()/180))*1/$B$16*POTENZ(($H$13+($B$15*(G61-$E$8))),2)))</f>
        <v>118.198559322728</v>
      </c>
      <c r="J61" s="122" t="n">
        <f aca="false">I61*20.9/100</f>
        <v>24.7034988984502</v>
      </c>
      <c r="K61" s="82" t="n">
        <f aca="false">($B$9-EXP(52.57-6690.9/(273.15+G61)-4.681*LN(273.15+G61)))*I61/100*0.2095</f>
        <v>245.848270898148</v>
      </c>
      <c r="L61" s="82" t="n">
        <f aca="false">K61/1.33322</f>
        <v>184.401877333184</v>
      </c>
      <c r="M61" s="121" t="n">
        <f aca="false">(($B$9-EXP(52.57-6690.9/(273.15+G61)-4.681*LN(273.15+G61)))/1013)*I61/100*0.2095*((49-1.335*G61+0.02759*POTENZ(G61,2)-0.0003235*POTENZ(G61,3)+0.000001614*POTENZ(G61,4))-($J$16*(5.516*10^-1-1.759*10^-2*G61+2.253*10^-4*POTENZ(G61,2)-2.654*10^-7*POTENZ(G61,3)+5.363*10^-8*POTENZ(G61,4))))*32/22.414</f>
        <v>9.29224202441921</v>
      </c>
      <c r="N61" s="121" t="n">
        <f aca="false">M61*31.25</f>
        <v>290.3825632631</v>
      </c>
    </row>
    <row collapsed="false" customFormat="false" customHeight="false" hidden="false" ht="12.75" outlineLevel="0" r="62">
      <c r="A62" s="120" t="n">
        <v>40402</v>
      </c>
      <c r="B62" s="0" t="s">
        <v>137</v>
      </c>
      <c r="C62" s="0" t="n">
        <v>6.861</v>
      </c>
      <c r="D62" s="0" t="n">
        <v>355.954</v>
      </c>
      <c r="E62" s="0" t="n">
        <v>26.75</v>
      </c>
      <c r="F62" s="0" t="n">
        <v>2647</v>
      </c>
      <c r="G62" s="0" t="n">
        <v>17.6</v>
      </c>
      <c r="I62" s="121" t="n">
        <f aca="false">(-((TAN(E62*PI()/180))/(TAN(($B$7+($B$14*(G62-$E$7)))*PI()/180))*($H$13+($B$15*(G62-$E$8)))+(TAN(E62*PI()/180))/(TAN(($B$7+($B$14*(G62-$E$7)))*PI()/180))*1/$B$16*($H$13+($B$15*(G62-$E$8)))-$B$13*1/$B$16*($H$13+($B$15*(G62-$E$8)))-($H$13+($B$15*(G62-$E$8)))+$B$13*($H$13+($B$15*(G62-$E$8))))+(WURZEL((POTENZ(((TAN(E62*PI()/180))/(TAN(($B$7+($B$14*(G62-$E$7)))*PI()/180))*($H$13+($B$15*(G62-$E$8)))+(TAN(E62*PI()/180))/(TAN(($B$7+($B$14*(G62-$E$7)))*PI()/180))*1/$B$16*($H$13+($B$15*(G62-$E$8)))-$B$13*1/$B$16*($H$13+($B$15*(G62-$E$8)))-($H$13+($B$15*(G62-$E$8)))+$B$13*($H$13+($B$15*(G62-$E$8)))),2))-4*((TAN(E62*PI()/180))/(TAN(($B$7+($B$14*(G62-$E$7)))*PI()/180))*1/$B$16*POTENZ(($H$13+($B$15*(G62-$E$8))),2))*((TAN(E62*PI()/180))/(TAN(($B$7+($B$14*(G62-$E$7)))*PI()/180))-1))))/(2*((TAN(E62*PI()/180))/(TAN(($B$7+($B$14*(G62-$E$7)))*PI()/180))*1/$B$16*POTENZ(($H$13+($B$15*(G62-$E$8))),2)))</f>
        <v>118.965967235539</v>
      </c>
      <c r="J62" s="122" t="n">
        <f aca="false">I62*20.9/100</f>
        <v>24.8638871522275</v>
      </c>
      <c r="K62" s="82" t="n">
        <f aca="false">($B$9-EXP(52.57-6690.9/(273.15+G62)-4.681*LN(273.15+G62)))*I62/100*0.2095</f>
        <v>247.444448630932</v>
      </c>
      <c r="L62" s="82" t="n">
        <f aca="false">K62/1.33322</f>
        <v>185.599112397752</v>
      </c>
      <c r="M62" s="121" t="n">
        <f aca="false">(($B$9-EXP(52.57-6690.9/(273.15+G62)-4.681*LN(273.15+G62)))/1013)*I62/100*0.2095*((49-1.335*G62+0.02759*POTENZ(G62,2)-0.0003235*POTENZ(G62,3)+0.000001614*POTENZ(G62,4))-($J$16*(5.516*10^-1-1.759*10^-2*G62+2.253*10^-4*POTENZ(G62,2)-2.654*10^-7*POTENZ(G62,3)+5.363*10^-8*POTENZ(G62,4))))*32/22.414</f>
        <v>9.35257220186087</v>
      </c>
      <c r="N62" s="121" t="n">
        <f aca="false">M62*31.25</f>
        <v>292.267881308152</v>
      </c>
    </row>
    <row collapsed="false" customFormat="false" customHeight="false" hidden="false" ht="12.75" outlineLevel="0" r="63">
      <c r="A63" s="120" t="n">
        <v>40402</v>
      </c>
      <c r="B63" s="0" t="s">
        <v>138</v>
      </c>
      <c r="C63" s="0" t="n">
        <v>7.028</v>
      </c>
      <c r="D63" s="0" t="n">
        <v>354.312</v>
      </c>
      <c r="E63" s="0" t="n">
        <v>26.8</v>
      </c>
      <c r="F63" s="0" t="n">
        <v>2649</v>
      </c>
      <c r="G63" s="0" t="n">
        <v>17.6</v>
      </c>
      <c r="I63" s="121" t="n">
        <f aca="false">(-((TAN(E63*PI()/180))/(TAN(($B$7+($B$14*(G63-$E$7)))*PI()/180))*($H$13+($B$15*(G63-$E$8)))+(TAN(E63*PI()/180))/(TAN(($B$7+($B$14*(G63-$E$7)))*PI()/180))*1/$B$16*($H$13+($B$15*(G63-$E$8)))-$B$13*1/$B$16*($H$13+($B$15*(G63-$E$8)))-($H$13+($B$15*(G63-$E$8)))+$B$13*($H$13+($B$15*(G63-$E$8))))+(WURZEL((POTENZ(((TAN(E63*PI()/180))/(TAN(($B$7+($B$14*(G63-$E$7)))*PI()/180))*($H$13+($B$15*(G63-$E$8)))+(TAN(E63*PI()/180))/(TAN(($B$7+($B$14*(G63-$E$7)))*PI()/180))*1/$B$16*($H$13+($B$15*(G63-$E$8)))-$B$13*1/$B$16*($H$13+($B$15*(G63-$E$8)))-($H$13+($B$15*(G63-$E$8)))+$B$13*($H$13+($B$15*(G63-$E$8)))),2))-4*((TAN(E63*PI()/180))/(TAN(($B$7+($B$14*(G63-$E$7)))*PI()/180))*1/$B$16*POTENZ(($H$13+($B$15*(G63-$E$8))),2))*((TAN(E63*PI()/180))/(TAN(($B$7+($B$14*(G63-$E$7)))*PI()/180))-1))))/(2*((TAN(E63*PI()/180))/(TAN(($B$7+($B$14*(G63-$E$7)))*PI()/180))*1/$B$16*POTENZ(($H$13+($B$15*(G63-$E$8))),2)))</f>
        <v>118.417210223401</v>
      </c>
      <c r="J63" s="122" t="n">
        <f aca="false">I63*20.9/100</f>
        <v>24.7491969366908</v>
      </c>
      <c r="K63" s="82" t="n">
        <f aca="false">($B$9-EXP(52.57-6690.9/(273.15+G63)-4.681*LN(273.15+G63)))*I63/100*0.2095</f>
        <v>246.303056017094</v>
      </c>
      <c r="L63" s="82" t="n">
        <f aca="false">K63/1.33322</f>
        <v>184.742995167409</v>
      </c>
      <c r="M63" s="121" t="n">
        <f aca="false">(($B$9-EXP(52.57-6690.9/(273.15+G63)-4.681*LN(273.15+G63)))/1013)*I63/100*0.2095*((49-1.335*G63+0.02759*POTENZ(G63,2)-0.0003235*POTENZ(G63,3)+0.000001614*POTENZ(G63,4))-($J$16*(5.516*10^-1-1.759*10^-2*G63+2.253*10^-4*POTENZ(G63,2)-2.654*10^-7*POTENZ(G63,3)+5.363*10^-8*POTENZ(G63,4))))*32/22.414</f>
        <v>9.30943138019098</v>
      </c>
      <c r="N63" s="121" t="n">
        <f aca="false">M63*31.25</f>
        <v>290.919730630968</v>
      </c>
    </row>
    <row collapsed="false" customFormat="false" customHeight="false" hidden="false" ht="12.75" outlineLevel="0" r="64">
      <c r="A64" s="120" t="n">
        <v>40402</v>
      </c>
      <c r="B64" s="0" t="s">
        <v>139</v>
      </c>
      <c r="C64" s="0" t="n">
        <v>7.195</v>
      </c>
      <c r="D64" s="0" t="n">
        <v>358.933</v>
      </c>
      <c r="E64" s="0" t="n">
        <v>26.66</v>
      </c>
      <c r="F64" s="0" t="n">
        <v>2644</v>
      </c>
      <c r="G64" s="0" t="n">
        <v>17.6</v>
      </c>
      <c r="I64" s="121" t="n">
        <f aca="false">(-((TAN(E64*PI()/180))/(TAN(($B$7+($B$14*(G64-$E$7)))*PI()/180))*($H$13+($B$15*(G64-$E$8)))+(TAN(E64*PI()/180))/(TAN(($B$7+($B$14*(G64-$E$7)))*PI()/180))*1/$B$16*($H$13+($B$15*(G64-$E$8)))-$B$13*1/$B$16*($H$13+($B$15*(G64-$E$8)))-($H$13+($B$15*(G64-$E$8)))+$B$13*($H$13+($B$15*(G64-$E$8))))+(WURZEL((POTENZ(((TAN(E64*PI()/180))/(TAN(($B$7+($B$14*(G64-$E$7)))*PI()/180))*($H$13+($B$15*(G64-$E$8)))+(TAN(E64*PI()/180))/(TAN(($B$7+($B$14*(G64-$E$7)))*PI()/180))*1/$B$16*($H$13+($B$15*(G64-$E$8)))-$B$13*1/$B$16*($H$13+($B$15*(G64-$E$8)))-($H$13+($B$15*(G64-$E$8)))+$B$13*($H$13+($B$15*(G64-$E$8)))),2))-4*((TAN(E64*PI()/180))/(TAN(($B$7+($B$14*(G64-$E$7)))*PI()/180))*1/$B$16*POTENZ(($H$13+($B$15*(G64-$E$8))),2))*((TAN(E64*PI()/180))/(TAN(($B$7+($B$14*(G64-$E$7)))*PI()/180))-1))))/(2*((TAN(E64*PI()/180))/(TAN(($B$7+($B$14*(G64-$E$7)))*PI()/180))*1/$B$16*POTENZ(($H$13+($B$15*(G64-$E$8))),2)))</f>
        <v>119.961455502754</v>
      </c>
      <c r="J64" s="122" t="n">
        <f aca="false">I64*20.9/100</f>
        <v>25.0719442000757</v>
      </c>
      <c r="K64" s="82" t="n">
        <f aca="false">($B$9-EXP(52.57-6690.9/(273.15+G64)-4.681*LN(273.15+G64)))*I64/100*0.2095</f>
        <v>249.515024368883</v>
      </c>
      <c r="L64" s="82" t="n">
        <f aca="false">K64/1.33322</f>
        <v>187.15217621164</v>
      </c>
      <c r="M64" s="121" t="n">
        <f aca="false">(($B$9-EXP(52.57-6690.9/(273.15+G64)-4.681*LN(273.15+G64)))/1013)*I64/100*0.2095*((49-1.335*G64+0.02759*POTENZ(G64,2)-0.0003235*POTENZ(G64,3)+0.000001614*POTENZ(G64,4))-($J$16*(5.516*10^-1-1.759*10^-2*G64+2.253*10^-4*POTENZ(G64,2)-2.654*10^-7*POTENZ(G64,3)+5.363*10^-8*POTENZ(G64,4))))*32/22.414</f>
        <v>9.43083303654822</v>
      </c>
      <c r="N64" s="121" t="n">
        <f aca="false">M64*31.25</f>
        <v>294.713532392132</v>
      </c>
    </row>
    <row collapsed="false" customFormat="false" customHeight="false" hidden="false" ht="12.75" outlineLevel="0" r="65">
      <c r="A65" s="120" t="n">
        <v>40402</v>
      </c>
      <c r="B65" s="0" t="s">
        <v>140</v>
      </c>
      <c r="C65" s="0" t="n">
        <v>7.362</v>
      </c>
      <c r="D65" s="0" t="n">
        <v>355.954</v>
      </c>
      <c r="E65" s="0" t="n">
        <v>26.75</v>
      </c>
      <c r="F65" s="0" t="n">
        <v>2646</v>
      </c>
      <c r="G65" s="0" t="n">
        <v>17.6</v>
      </c>
      <c r="I65" s="121" t="n">
        <f aca="false">(-((TAN(E65*PI()/180))/(TAN(($B$7+($B$14*(G65-$E$7)))*PI()/180))*($H$13+($B$15*(G65-$E$8)))+(TAN(E65*PI()/180))/(TAN(($B$7+($B$14*(G65-$E$7)))*PI()/180))*1/$B$16*($H$13+($B$15*(G65-$E$8)))-$B$13*1/$B$16*($H$13+($B$15*(G65-$E$8)))-($H$13+($B$15*(G65-$E$8)))+$B$13*($H$13+($B$15*(G65-$E$8))))+(WURZEL((POTENZ(((TAN(E65*PI()/180))/(TAN(($B$7+($B$14*(G65-$E$7)))*PI()/180))*($H$13+($B$15*(G65-$E$8)))+(TAN(E65*PI()/180))/(TAN(($B$7+($B$14*(G65-$E$7)))*PI()/180))*1/$B$16*($H$13+($B$15*(G65-$E$8)))-$B$13*1/$B$16*($H$13+($B$15*(G65-$E$8)))-($H$13+($B$15*(G65-$E$8)))+$B$13*($H$13+($B$15*(G65-$E$8)))),2))-4*((TAN(E65*PI()/180))/(TAN(($B$7+($B$14*(G65-$E$7)))*PI()/180))*1/$B$16*POTENZ(($H$13+($B$15*(G65-$E$8))),2))*((TAN(E65*PI()/180))/(TAN(($B$7+($B$14*(G65-$E$7)))*PI()/180))-1))))/(2*((TAN(E65*PI()/180))/(TAN(($B$7+($B$14*(G65-$E$7)))*PI()/180))*1/$B$16*POTENZ(($H$13+($B$15*(G65-$E$8))),2)))</f>
        <v>118.965967235539</v>
      </c>
      <c r="J65" s="122" t="n">
        <f aca="false">I65*20.9/100</f>
        <v>24.8638871522275</v>
      </c>
      <c r="K65" s="82" t="n">
        <f aca="false">($B$9-EXP(52.57-6690.9/(273.15+G65)-4.681*LN(273.15+G65)))*I65/100*0.2095</f>
        <v>247.444448630932</v>
      </c>
      <c r="L65" s="82" t="n">
        <f aca="false">K65/1.33322</f>
        <v>185.599112397752</v>
      </c>
      <c r="M65" s="121" t="n">
        <f aca="false">(($B$9-EXP(52.57-6690.9/(273.15+G65)-4.681*LN(273.15+G65)))/1013)*I65/100*0.2095*((49-1.335*G65+0.02759*POTENZ(G65,2)-0.0003235*POTENZ(G65,3)+0.000001614*POTENZ(G65,4))-($J$16*(5.516*10^-1-1.759*10^-2*G65+2.253*10^-4*POTENZ(G65,2)-2.654*10^-7*POTENZ(G65,3)+5.363*10^-8*POTENZ(G65,4))))*32/22.414</f>
        <v>9.35257220186087</v>
      </c>
      <c r="N65" s="121" t="n">
        <f aca="false">M65*31.25</f>
        <v>292.267881308152</v>
      </c>
    </row>
    <row collapsed="false" customFormat="false" customHeight="false" hidden="false" ht="12.75" outlineLevel="0" r="66">
      <c r="A66" s="120" t="n">
        <v>40402</v>
      </c>
      <c r="B66" s="0" t="s">
        <v>141</v>
      </c>
      <c r="C66" s="0" t="n">
        <v>7.529</v>
      </c>
      <c r="D66" s="0" t="n">
        <v>353.005</v>
      </c>
      <c r="E66" s="0" t="n">
        <v>26.84</v>
      </c>
      <c r="F66" s="0" t="n">
        <v>2645</v>
      </c>
      <c r="G66" s="0" t="n">
        <v>17.6</v>
      </c>
      <c r="I66" s="121" t="n">
        <f aca="false">(-((TAN(E66*PI()/180))/(TAN(($B$7+($B$14*(G66-$E$7)))*PI()/180))*($H$13+($B$15*(G66-$E$8)))+(TAN(E66*PI()/180))/(TAN(($B$7+($B$14*(G66-$E$7)))*PI()/180))*1/$B$16*($H$13+($B$15*(G66-$E$8)))-$B$13*1/$B$16*($H$13+($B$15*(G66-$E$8)))-($H$13+($B$15*(G66-$E$8)))+$B$13*($H$13+($B$15*(G66-$E$8))))+(WURZEL((POTENZ(((TAN(E66*PI()/180))/(TAN(($B$7+($B$14*(G66-$E$7)))*PI()/180))*($H$13+($B$15*(G66-$E$8)))+(TAN(E66*PI()/180))/(TAN(($B$7+($B$14*(G66-$E$7)))*PI()/180))*1/$B$16*($H$13+($B$15*(G66-$E$8)))-$B$13*1/$B$16*($H$13+($B$15*(G66-$E$8)))-($H$13+($B$15*(G66-$E$8)))+$B$13*($H$13+($B$15*(G66-$E$8)))),2))-4*((TAN(E66*PI()/180))/(TAN(($B$7+($B$14*(G66-$E$7)))*PI()/180))*1/$B$16*POTENZ(($H$13+($B$15*(G66-$E$8))),2))*((TAN(E66*PI()/180))/(TAN(($B$7+($B$14*(G66-$E$7)))*PI()/180))-1))))/(2*((TAN(E66*PI()/180))/(TAN(($B$7+($B$14*(G66-$E$7)))*PI()/180))*1/$B$16*POTENZ(($H$13+($B$15*(G66-$E$8))),2)))</f>
        <v>117.980393149871</v>
      </c>
      <c r="J66" s="122" t="n">
        <f aca="false">I66*20.9/100</f>
        <v>24.657902168323</v>
      </c>
      <c r="K66" s="82" t="n">
        <f aca="false">($B$9-EXP(52.57-6690.9/(273.15+G66)-4.681*LN(273.15+G66)))*I66/100*0.2095</f>
        <v>245.394493993652</v>
      </c>
      <c r="L66" s="82" t="n">
        <f aca="false">K66/1.33322</f>
        <v>184.061515724076</v>
      </c>
      <c r="M66" s="121" t="n">
        <f aca="false">(($B$9-EXP(52.57-6690.9/(273.15+G66)-4.681*LN(273.15+G66)))/1013)*I66/100*0.2095*((49-1.335*G66+0.02759*POTENZ(G66,2)-0.0003235*POTENZ(G66,3)+0.000001614*POTENZ(G66,4))-($J$16*(5.516*10^-1-1.759*10^-2*G66+2.253*10^-4*POTENZ(G66,2)-2.654*10^-7*POTENZ(G66,3)+5.363*10^-8*POTENZ(G66,4))))*32/22.414</f>
        <v>9.2750907757801</v>
      </c>
      <c r="N66" s="121" t="n">
        <f aca="false">M66*31.25</f>
        <v>289.846586743128</v>
      </c>
    </row>
    <row collapsed="false" customFormat="false" customHeight="false" hidden="false" ht="12.75" outlineLevel="0" r="67">
      <c r="A67" s="120" t="n">
        <v>40402</v>
      </c>
      <c r="B67" s="0" t="s">
        <v>142</v>
      </c>
      <c r="C67" s="0" t="n">
        <v>7.695</v>
      </c>
      <c r="D67" s="0" t="n">
        <v>353.985</v>
      </c>
      <c r="E67" s="0" t="n">
        <v>26.81</v>
      </c>
      <c r="F67" s="0" t="n">
        <v>2646</v>
      </c>
      <c r="G67" s="0" t="n">
        <v>17.6</v>
      </c>
      <c r="I67" s="121" t="n">
        <f aca="false">(-((TAN(E67*PI()/180))/(TAN(($B$7+($B$14*(G67-$E$7)))*PI()/180))*($H$13+($B$15*(G67-$E$8)))+(TAN(E67*PI()/180))/(TAN(($B$7+($B$14*(G67-$E$7)))*PI()/180))*1/$B$16*($H$13+($B$15*(G67-$E$8)))-$B$13*1/$B$16*($H$13+($B$15*(G67-$E$8)))-($H$13+($B$15*(G67-$E$8)))+$B$13*($H$13+($B$15*(G67-$E$8))))+(WURZEL((POTENZ(((TAN(E67*PI()/180))/(TAN(($B$7+($B$14*(G67-$E$7)))*PI()/180))*($H$13+($B$15*(G67-$E$8)))+(TAN(E67*PI()/180))/(TAN(($B$7+($B$14*(G67-$E$7)))*PI()/180))*1/$B$16*($H$13+($B$15*(G67-$E$8)))-$B$13*1/$B$16*($H$13+($B$15*(G67-$E$8)))-($H$13+($B$15*(G67-$E$8)))+$B$13*($H$13+($B$15*(G67-$E$8)))),2))-4*((TAN(E67*PI()/180))/(TAN(($B$7+($B$14*(G67-$E$7)))*PI()/180))*1/$B$16*POTENZ(($H$13+($B$15*(G67-$E$8))),2))*((TAN(E67*PI()/180))/(TAN(($B$7+($B$14*(G67-$E$7)))*PI()/180))-1))))/(2*((TAN(E67*PI()/180))/(TAN(($B$7+($B$14*(G67-$E$7)))*PI()/180))*1/$B$16*POTENZ(($H$13+($B$15*(G67-$E$8))),2)))</f>
        <v>118.307824095854</v>
      </c>
      <c r="J67" s="122" t="n">
        <f aca="false">I67*20.9/100</f>
        <v>24.7263352360335</v>
      </c>
      <c r="K67" s="82" t="n">
        <f aca="false">($B$9-EXP(52.57-6690.9/(273.15+G67)-4.681*LN(273.15+G67)))*I67/100*0.2095</f>
        <v>246.075537251453</v>
      </c>
      <c r="L67" s="82" t="n">
        <f aca="false">K67/1.33322</f>
        <v>184.572341587625</v>
      </c>
      <c r="M67" s="121" t="n">
        <f aca="false">(($B$9-EXP(52.57-6690.9/(273.15+G67)-4.681*LN(273.15+G67)))/1013)*I67/100*0.2095*((49-1.335*G67+0.02759*POTENZ(G67,2)-0.0003235*POTENZ(G67,3)+0.000001614*POTENZ(G67,4))-($J$16*(5.516*10^-1-1.759*10^-2*G67+2.253*10^-4*POTENZ(G67,2)-2.654*10^-7*POTENZ(G67,3)+5.363*10^-8*POTENZ(G67,4))))*32/22.414</f>
        <v>9.30083193213423</v>
      </c>
      <c r="N67" s="121" t="n">
        <f aca="false">M67*31.25</f>
        <v>290.650997879195</v>
      </c>
    </row>
    <row collapsed="false" customFormat="false" customHeight="false" hidden="false" ht="12.75" outlineLevel="0" r="68">
      <c r="A68" s="120" t="n">
        <v>40402</v>
      </c>
      <c r="B68" s="0" t="s">
        <v>143</v>
      </c>
      <c r="C68" s="0" t="n">
        <v>7.862</v>
      </c>
      <c r="D68" s="0" t="n">
        <v>353.985</v>
      </c>
      <c r="E68" s="0" t="n">
        <v>26.81</v>
      </c>
      <c r="F68" s="0" t="n">
        <v>2649</v>
      </c>
      <c r="G68" s="0" t="n">
        <v>17.6</v>
      </c>
      <c r="I68" s="121" t="n">
        <f aca="false">(-((TAN(E68*PI()/180))/(TAN(($B$7+($B$14*(G68-$E$7)))*PI()/180))*($H$13+($B$15*(G68-$E$8)))+(TAN(E68*PI()/180))/(TAN(($B$7+($B$14*(G68-$E$7)))*PI()/180))*1/$B$16*($H$13+($B$15*(G68-$E$8)))-$B$13*1/$B$16*($H$13+($B$15*(G68-$E$8)))-($H$13+($B$15*(G68-$E$8)))+$B$13*($H$13+($B$15*(G68-$E$8))))+(WURZEL((POTENZ(((TAN(E68*PI()/180))/(TAN(($B$7+($B$14*(G68-$E$7)))*PI()/180))*($H$13+($B$15*(G68-$E$8)))+(TAN(E68*PI()/180))/(TAN(($B$7+($B$14*(G68-$E$7)))*PI()/180))*1/$B$16*($H$13+($B$15*(G68-$E$8)))-$B$13*1/$B$16*($H$13+($B$15*(G68-$E$8)))-($H$13+($B$15*(G68-$E$8)))+$B$13*($H$13+($B$15*(G68-$E$8)))),2))-4*((TAN(E68*PI()/180))/(TAN(($B$7+($B$14*(G68-$E$7)))*PI()/180))*1/$B$16*POTENZ(($H$13+($B$15*(G68-$E$8))),2))*((TAN(E68*PI()/180))/(TAN(($B$7+($B$14*(G68-$E$7)))*PI()/180))-1))))/(2*((TAN(E68*PI()/180))/(TAN(($B$7+($B$14*(G68-$E$7)))*PI()/180))*1/$B$16*POTENZ(($H$13+($B$15*(G68-$E$8))),2)))</f>
        <v>118.307824095854</v>
      </c>
      <c r="J68" s="122" t="n">
        <f aca="false">I68*20.9/100</f>
        <v>24.7263352360335</v>
      </c>
      <c r="K68" s="82" t="n">
        <f aca="false">($B$9-EXP(52.57-6690.9/(273.15+G68)-4.681*LN(273.15+G68)))*I68/100*0.2095</f>
        <v>246.075537251453</v>
      </c>
      <c r="L68" s="82" t="n">
        <f aca="false">K68/1.33322</f>
        <v>184.572341587625</v>
      </c>
      <c r="M68" s="121" t="n">
        <f aca="false">(($B$9-EXP(52.57-6690.9/(273.15+G68)-4.681*LN(273.15+G68)))/1013)*I68/100*0.2095*((49-1.335*G68+0.02759*POTENZ(G68,2)-0.0003235*POTENZ(G68,3)+0.000001614*POTENZ(G68,4))-($J$16*(5.516*10^-1-1.759*10^-2*G68+2.253*10^-4*POTENZ(G68,2)-2.654*10^-7*POTENZ(G68,3)+5.363*10^-8*POTENZ(G68,4))))*32/22.414</f>
        <v>9.30083193213423</v>
      </c>
      <c r="N68" s="121" t="n">
        <f aca="false">M68*31.25</f>
        <v>290.650997879195</v>
      </c>
    </row>
    <row collapsed="false" customFormat="false" customHeight="false" hidden="false" ht="12.75" outlineLevel="0" r="69">
      <c r="A69" s="120" t="n">
        <v>40402</v>
      </c>
      <c r="B69" s="0" t="s">
        <v>144</v>
      </c>
      <c r="C69" s="0" t="n">
        <v>8.029</v>
      </c>
      <c r="D69" s="0" t="n">
        <v>357.936</v>
      </c>
      <c r="E69" s="0" t="n">
        <v>26.69</v>
      </c>
      <c r="F69" s="0" t="n">
        <v>2641</v>
      </c>
      <c r="G69" s="0" t="n">
        <v>17.6</v>
      </c>
      <c r="I69" s="121" t="n">
        <f aca="false">(-((TAN(E69*PI()/180))/(TAN(($B$7+($B$14*(G69-$E$7)))*PI()/180))*($H$13+($B$15*(G69-$E$8)))+(TAN(E69*PI()/180))/(TAN(($B$7+($B$14*(G69-$E$7)))*PI()/180))*1/$B$16*($H$13+($B$15*(G69-$E$8)))-$B$13*1/$B$16*($H$13+($B$15*(G69-$E$8)))-($H$13+($B$15*(G69-$E$8)))+$B$13*($H$13+($B$15*(G69-$E$8))))+(WURZEL((POTENZ(((TAN(E69*PI()/180))/(TAN(($B$7+($B$14*(G69-$E$7)))*PI()/180))*($H$13+($B$15*(G69-$E$8)))+(TAN(E69*PI()/180))/(TAN(($B$7+($B$14*(G69-$E$7)))*PI()/180))*1/$B$16*($H$13+($B$15*(G69-$E$8)))-$B$13*1/$B$16*($H$13+($B$15*(G69-$E$8)))-($H$13+($B$15*(G69-$E$8)))+$B$13*($H$13+($B$15*(G69-$E$8)))),2))-4*((TAN(E69*PI()/180))/(TAN(($B$7+($B$14*(G69-$E$7)))*PI()/180))*1/$B$16*POTENZ(($H$13+($B$15*(G69-$E$8))),2))*((TAN(E69*PI()/180))/(TAN(($B$7+($B$14*(G69-$E$7)))*PI()/180))-1))))/(2*((TAN(E69*PI()/180))/(TAN(($B$7+($B$14*(G69-$E$7)))*PI()/180))*1/$B$16*POTENZ(($H$13+($B$15*(G69-$E$8))),2)))</f>
        <v>119.628516640512</v>
      </c>
      <c r="J69" s="122" t="n">
        <f aca="false">I69*20.9/100</f>
        <v>25.002359977867</v>
      </c>
      <c r="K69" s="82" t="n">
        <f aca="false">($B$9-EXP(52.57-6690.9/(273.15+G69)-4.681*LN(273.15+G69)))*I69/100*0.2095</f>
        <v>248.822524865791</v>
      </c>
      <c r="L69" s="82" t="n">
        <f aca="false">K69/1.33322</f>
        <v>186.632757433725</v>
      </c>
      <c r="M69" s="121" t="n">
        <f aca="false">(($B$9-EXP(52.57-6690.9/(273.15+G69)-4.681*LN(273.15+G69)))/1013)*I69/100*0.2095*((49-1.335*G69+0.02759*POTENZ(G69,2)-0.0003235*POTENZ(G69,3)+0.000001614*POTENZ(G69,4))-($J$16*(5.516*10^-1-1.759*10^-2*G69+2.253*10^-4*POTENZ(G69,2)-2.654*10^-7*POTENZ(G69,3)+5.363*10^-8*POTENZ(G69,4))))*32/22.414</f>
        <v>9.40465887245502</v>
      </c>
      <c r="N69" s="121" t="n">
        <f aca="false">M69*31.25</f>
        <v>293.895589764219</v>
      </c>
    </row>
    <row collapsed="false" customFormat="false" customHeight="false" hidden="false" ht="12.75" outlineLevel="0" r="70">
      <c r="A70" s="120" t="n">
        <v>40402</v>
      </c>
      <c r="B70" s="0" t="s">
        <v>145</v>
      </c>
      <c r="C70" s="0" t="n">
        <v>8.196</v>
      </c>
      <c r="D70" s="0" t="n">
        <v>351.704</v>
      </c>
      <c r="E70" s="0" t="n">
        <v>26.88</v>
      </c>
      <c r="F70" s="0" t="n">
        <v>2641</v>
      </c>
      <c r="G70" s="0" t="n">
        <v>17.6</v>
      </c>
      <c r="I70" s="121" t="n">
        <f aca="false">(-((TAN(E70*PI()/180))/(TAN(($B$7+($B$14*(G70-$E$7)))*PI()/180))*($H$13+($B$15*(G70-$E$8)))+(TAN(E70*PI()/180))/(TAN(($B$7+($B$14*(G70-$E$7)))*PI()/180))*1/$B$16*($H$13+($B$15*(G70-$E$8)))-$B$13*1/$B$16*($H$13+($B$15*(G70-$E$8)))-($H$13+($B$15*(G70-$E$8)))+$B$13*($H$13+($B$15*(G70-$E$8))))+(WURZEL((POTENZ(((TAN(E70*PI()/180))/(TAN(($B$7+($B$14*(G70-$E$7)))*PI()/180))*($H$13+($B$15*(G70-$E$8)))+(TAN(E70*PI()/180))/(TAN(($B$7+($B$14*(G70-$E$7)))*PI()/180))*1/$B$16*($H$13+($B$15*(G70-$E$8)))-$B$13*1/$B$16*($H$13+($B$15*(G70-$E$8)))-($H$13+($B$15*(G70-$E$8)))+$B$13*($H$13+($B$15*(G70-$E$8)))),2))-4*((TAN(E70*PI()/180))/(TAN(($B$7+($B$14*(G70-$E$7)))*PI()/180))*1/$B$16*POTENZ(($H$13+($B$15*(G70-$E$8))),2))*((TAN(E70*PI()/180))/(TAN(($B$7+($B$14*(G70-$E$7)))*PI()/180))-1))))/(2*((TAN(E70*PI()/180))/(TAN(($B$7+($B$14*(G70-$E$7)))*PI()/180))*1/$B$16*POTENZ(($H$13+($B$15*(G70-$E$8))),2)))</f>
        <v>117.54550948406</v>
      </c>
      <c r="J70" s="122" t="n">
        <f aca="false">I70*20.9/100</f>
        <v>24.5670114821686</v>
      </c>
      <c r="K70" s="82" t="n">
        <f aca="false">($B$9-EXP(52.57-6690.9/(273.15+G70)-4.681*LN(273.15+G70)))*I70/100*0.2095</f>
        <v>244.489953380855</v>
      </c>
      <c r="L70" s="82" t="n">
        <f aca="false">K70/1.33322</f>
        <v>183.383052595112</v>
      </c>
      <c r="M70" s="121" t="n">
        <f aca="false">(($B$9-EXP(52.57-6690.9/(273.15+G70)-4.681*LN(273.15+G70)))/1013)*I70/100*0.2095*((49-1.335*G70+0.02759*POTENZ(G70,2)-0.0003235*POTENZ(G70,3)+0.000001614*POTENZ(G70,4))-($J$16*(5.516*10^-1-1.759*10^-2*G70+2.253*10^-4*POTENZ(G70,2)-2.654*10^-7*POTENZ(G70,3)+5.363*10^-8*POTENZ(G70,4))))*32/22.414</f>
        <v>9.24090216723583</v>
      </c>
      <c r="N70" s="121" t="n">
        <f aca="false">M70*31.25</f>
        <v>288.77819272612</v>
      </c>
    </row>
    <row collapsed="false" customFormat="false" customHeight="false" hidden="false" ht="12.75" outlineLevel="0" r="71">
      <c r="A71" s="120" t="n">
        <v>40402</v>
      </c>
      <c r="B71" s="0" t="s">
        <v>146</v>
      </c>
      <c r="C71" s="0" t="n">
        <v>8.363</v>
      </c>
      <c r="D71" s="0" t="n">
        <v>357.936</v>
      </c>
      <c r="E71" s="0" t="n">
        <v>26.69</v>
      </c>
      <c r="F71" s="0" t="n">
        <v>2641</v>
      </c>
      <c r="G71" s="0" t="n">
        <v>17.6</v>
      </c>
      <c r="I71" s="121" t="n">
        <f aca="false">(-((TAN(E71*PI()/180))/(TAN(($B$7+($B$14*(G71-$E$7)))*PI()/180))*($H$13+($B$15*(G71-$E$8)))+(TAN(E71*PI()/180))/(TAN(($B$7+($B$14*(G71-$E$7)))*PI()/180))*1/$B$16*($H$13+($B$15*(G71-$E$8)))-$B$13*1/$B$16*($H$13+($B$15*(G71-$E$8)))-($H$13+($B$15*(G71-$E$8)))+$B$13*($H$13+($B$15*(G71-$E$8))))+(WURZEL((POTENZ(((TAN(E71*PI()/180))/(TAN(($B$7+($B$14*(G71-$E$7)))*PI()/180))*($H$13+($B$15*(G71-$E$8)))+(TAN(E71*PI()/180))/(TAN(($B$7+($B$14*(G71-$E$7)))*PI()/180))*1/$B$16*($H$13+($B$15*(G71-$E$8)))-$B$13*1/$B$16*($H$13+($B$15*(G71-$E$8)))-($H$13+($B$15*(G71-$E$8)))+$B$13*($H$13+($B$15*(G71-$E$8)))),2))-4*((TAN(E71*PI()/180))/(TAN(($B$7+($B$14*(G71-$E$7)))*PI()/180))*1/$B$16*POTENZ(($H$13+($B$15*(G71-$E$8))),2))*((TAN(E71*PI()/180))/(TAN(($B$7+($B$14*(G71-$E$7)))*PI()/180))-1))))/(2*((TAN(E71*PI()/180))/(TAN(($B$7+($B$14*(G71-$E$7)))*PI()/180))*1/$B$16*POTENZ(($H$13+($B$15*(G71-$E$8))),2)))</f>
        <v>119.628516640512</v>
      </c>
      <c r="J71" s="122" t="n">
        <f aca="false">I71*20.9/100</f>
        <v>25.002359977867</v>
      </c>
      <c r="K71" s="82" t="n">
        <f aca="false">($B$9-EXP(52.57-6690.9/(273.15+G71)-4.681*LN(273.15+G71)))*I71/100*0.2095</f>
        <v>248.822524865791</v>
      </c>
      <c r="L71" s="82" t="n">
        <f aca="false">K71/1.33322</f>
        <v>186.632757433725</v>
      </c>
      <c r="M71" s="121" t="n">
        <f aca="false">(($B$9-EXP(52.57-6690.9/(273.15+G71)-4.681*LN(273.15+G71)))/1013)*I71/100*0.2095*((49-1.335*G71+0.02759*POTENZ(G71,2)-0.0003235*POTENZ(G71,3)+0.000001614*POTENZ(G71,4))-($J$16*(5.516*10^-1-1.759*10^-2*G71+2.253*10^-4*POTENZ(G71,2)-2.654*10^-7*POTENZ(G71,3)+5.363*10^-8*POTENZ(G71,4))))*32/22.414</f>
        <v>9.40465887245502</v>
      </c>
      <c r="N71" s="121" t="n">
        <f aca="false">M71*31.25</f>
        <v>293.895589764219</v>
      </c>
    </row>
    <row collapsed="false" customFormat="false" customHeight="false" hidden="false" ht="12.75" outlineLevel="0" r="72">
      <c r="A72" s="120" t="n">
        <v>40402</v>
      </c>
      <c r="B72" s="0" t="s">
        <v>147</v>
      </c>
      <c r="C72" s="0" t="n">
        <v>8.53</v>
      </c>
      <c r="D72" s="0" t="n">
        <v>356.944</v>
      </c>
      <c r="E72" s="0" t="n">
        <v>26.72</v>
      </c>
      <c r="F72" s="0" t="n">
        <v>2645</v>
      </c>
      <c r="G72" s="0" t="n">
        <v>17.6</v>
      </c>
      <c r="I72" s="121" t="n">
        <f aca="false">(-((TAN(E72*PI()/180))/(TAN(($B$7+($B$14*(G72-$E$7)))*PI()/180))*($H$13+($B$15*(G72-$E$8)))+(TAN(E72*PI()/180))/(TAN(($B$7+($B$14*(G72-$E$7)))*PI()/180))*1/$B$16*($H$13+($B$15*(G72-$E$8)))-$B$13*1/$B$16*($H$13+($B$15*(G72-$E$8)))-($H$13+($B$15*(G72-$E$8)))+$B$13*($H$13+($B$15*(G72-$E$8))))+(WURZEL((POTENZ(((TAN(E72*PI()/180))/(TAN(($B$7+($B$14*(G72-$E$7)))*PI()/180))*($H$13+($B$15*(G72-$E$8)))+(TAN(E72*PI()/180))/(TAN(($B$7+($B$14*(G72-$E$7)))*PI()/180))*1/$B$16*($H$13+($B$15*(G72-$E$8)))-$B$13*1/$B$16*($H$13+($B$15*(G72-$E$8)))-($H$13+($B$15*(G72-$E$8)))+$B$13*($H$13+($B$15*(G72-$E$8)))),2))-4*((TAN(E72*PI()/180))/(TAN(($B$7+($B$14*(G72-$E$7)))*PI()/180))*1/$B$16*POTENZ(($H$13+($B$15*(G72-$E$8))),2))*((TAN(E72*PI()/180))/(TAN(($B$7+($B$14*(G72-$E$7)))*PI()/180))-1))))/(2*((TAN(E72*PI()/180))/(TAN(($B$7+($B$14*(G72-$E$7)))*PI()/180))*1/$B$16*POTENZ(($H$13+($B$15*(G72-$E$8))),2)))</f>
        <v>119.296688798476</v>
      </c>
      <c r="J72" s="122" t="n">
        <f aca="false">I72*20.9/100</f>
        <v>24.9330079588814</v>
      </c>
      <c r="K72" s="82" t="n">
        <f aca="false">($B$9-EXP(52.57-6690.9/(273.15+G72)-4.681*LN(273.15+G72)))*I72/100*0.2095</f>
        <v>248.132336240245</v>
      </c>
      <c r="L72" s="82" t="n">
        <f aca="false">K72/1.33322</f>
        <v>186.1150719613</v>
      </c>
      <c r="M72" s="121" t="n">
        <f aca="false">(($B$9-EXP(52.57-6690.9/(273.15+G72)-4.681*LN(273.15+G72)))/1013)*I72/100*0.2095*((49-1.335*G72+0.02759*POTENZ(G72,2)-0.0003235*POTENZ(G72,3)+0.000001614*POTENZ(G72,4))-($J$16*(5.516*10^-1-1.759*10^-2*G72+2.253*10^-4*POTENZ(G72,2)-2.654*10^-7*POTENZ(G72,3)+5.363*10^-8*POTENZ(G72,4))))*32/22.414</f>
        <v>9.37857205180078</v>
      </c>
      <c r="N72" s="121" t="n">
        <f aca="false">M72*31.25</f>
        <v>293.080376618774</v>
      </c>
    </row>
    <row collapsed="false" customFormat="false" customHeight="false" hidden="false" ht="12.75" outlineLevel="0" r="73">
      <c r="A73" s="120" t="n">
        <v>40402</v>
      </c>
      <c r="B73" s="0" t="s">
        <v>148</v>
      </c>
      <c r="C73" s="0" t="n">
        <v>8.697</v>
      </c>
      <c r="D73" s="0" t="n">
        <v>359.265</v>
      </c>
      <c r="E73" s="0" t="n">
        <v>26.65</v>
      </c>
      <c r="F73" s="0" t="n">
        <v>2644</v>
      </c>
      <c r="G73" s="0" t="n">
        <v>17.6</v>
      </c>
      <c r="I73" s="121" t="n">
        <f aca="false">(-((TAN(E73*PI()/180))/(TAN(($B$7+($B$14*(G73-$E$7)))*PI()/180))*($H$13+($B$15*(G73-$E$8)))+(TAN(E73*PI()/180))/(TAN(($B$7+($B$14*(G73-$E$7)))*PI()/180))*1/$B$16*($H$13+($B$15*(G73-$E$8)))-$B$13*1/$B$16*($H$13+($B$15*(G73-$E$8)))-($H$13+($B$15*(G73-$E$8)))+$B$13*($H$13+($B$15*(G73-$E$8))))+(WURZEL((POTENZ(((TAN(E73*PI()/180))/(TAN(($B$7+($B$14*(G73-$E$7)))*PI()/180))*($H$13+($B$15*(G73-$E$8)))+(TAN(E73*PI()/180))/(TAN(($B$7+($B$14*(G73-$E$7)))*PI()/180))*1/$B$16*($H$13+($B$15*(G73-$E$8)))-$B$13*1/$B$16*($H$13+($B$15*(G73-$E$8)))-($H$13+($B$15*(G73-$E$8)))+$B$13*($H$13+($B$15*(G73-$E$8)))),2))-4*((TAN(E73*PI()/180))/(TAN(($B$7+($B$14*(G73-$E$7)))*PI()/180))*1/$B$16*POTENZ(($H$13+($B$15*(G73-$E$8))),2))*((TAN(E73*PI()/180))/(TAN(($B$7+($B$14*(G73-$E$7)))*PI()/180))-1))))/(2*((TAN(E73*PI()/180))/(TAN(($B$7+($B$14*(G73-$E$7)))*PI()/180))*1/$B$16*POTENZ(($H$13+($B$15*(G73-$E$8))),2)))</f>
        <v>120.072682839614</v>
      </c>
      <c r="J73" s="122" t="n">
        <f aca="false">I73*20.9/100</f>
        <v>25.0951907134793</v>
      </c>
      <c r="K73" s="82" t="n">
        <f aca="false">($B$9-EXP(52.57-6690.9/(273.15+G73)-4.681*LN(273.15+G73)))*I73/100*0.2095</f>
        <v>249.746372776174</v>
      </c>
      <c r="L73" s="82" t="n">
        <f aca="false">K73/1.33322</f>
        <v>187.325702266823</v>
      </c>
      <c r="M73" s="121" t="n">
        <f aca="false">(($B$9-EXP(52.57-6690.9/(273.15+G73)-4.681*LN(273.15+G73)))/1013)*I73/100*0.2095*((49-1.335*G73+0.02759*POTENZ(G73,2)-0.0003235*POTENZ(G73,3)+0.000001614*POTENZ(G73,4))-($J$16*(5.516*10^-1-1.759*10^-2*G73+2.253*10^-4*POTENZ(G73,2)-2.654*10^-7*POTENZ(G73,3)+5.363*10^-8*POTENZ(G73,4))))*32/22.414</f>
        <v>9.43957723224529</v>
      </c>
      <c r="N73" s="121" t="n">
        <f aca="false">M73*31.25</f>
        <v>294.986788507665</v>
      </c>
    </row>
    <row collapsed="false" customFormat="false" customHeight="false" hidden="false" ht="12.75" outlineLevel="0" r="74">
      <c r="A74" s="120" t="n">
        <v>40402</v>
      </c>
      <c r="B74" s="0" t="s">
        <v>149</v>
      </c>
      <c r="C74" s="0" t="n">
        <v>8.864</v>
      </c>
      <c r="D74" s="0" t="n">
        <v>358.268</v>
      </c>
      <c r="E74" s="0" t="n">
        <v>26.68</v>
      </c>
      <c r="F74" s="0" t="n">
        <v>2644</v>
      </c>
      <c r="G74" s="0" t="n">
        <v>17.6</v>
      </c>
      <c r="I74" s="121" t="n">
        <f aca="false">(-((TAN(E74*PI()/180))/(TAN(($B$7+($B$14*(G74-$E$7)))*PI()/180))*($H$13+($B$15*(G74-$E$8)))+(TAN(E74*PI()/180))/(TAN(($B$7+($B$14*(G74-$E$7)))*PI()/180))*1/$B$16*($H$13+($B$15*(G74-$E$8)))-$B$13*1/$B$16*($H$13+($B$15*(G74-$E$8)))-($H$13+($B$15*(G74-$E$8)))+$B$13*($H$13+($B$15*(G74-$E$8))))+(WURZEL((POTENZ(((TAN(E74*PI()/180))/(TAN(($B$7+($B$14*(G74-$E$7)))*PI()/180))*($H$13+($B$15*(G74-$E$8)))+(TAN(E74*PI()/180))/(TAN(($B$7+($B$14*(G74-$E$7)))*PI()/180))*1/$B$16*($H$13+($B$15*(G74-$E$8)))-$B$13*1/$B$16*($H$13+($B$15*(G74-$E$8)))-($H$13+($B$15*(G74-$E$8)))+$B$13*($H$13+($B$15*(G74-$E$8)))),2))-4*((TAN(E74*PI()/180))/(TAN(($B$7+($B$14*(G74-$E$7)))*PI()/180))*1/$B$16*POTENZ(($H$13+($B$15*(G74-$E$8))),2))*((TAN(E74*PI()/180))/(TAN(($B$7+($B$14*(G74-$E$7)))*PI()/180))-1))))/(2*((TAN(E74*PI()/180))/(TAN(($B$7+($B$14*(G74-$E$7)))*PI()/180))*1/$B$16*POTENZ(($H$13+($B$15*(G74-$E$8))),2)))</f>
        <v>119.739372579785</v>
      </c>
      <c r="J74" s="122" t="n">
        <f aca="false">I74*20.9/100</f>
        <v>25.0255288691751</v>
      </c>
      <c r="K74" s="82" t="n">
        <f aca="false">($B$9-EXP(52.57-6690.9/(273.15+G74)-4.681*LN(273.15+G74)))*I74/100*0.2095</f>
        <v>249.053100780974</v>
      </c>
      <c r="L74" s="82" t="n">
        <f aca="false">K74/1.33322</f>
        <v>186.805704070577</v>
      </c>
      <c r="M74" s="121" t="n">
        <f aca="false">(($B$9-EXP(52.57-6690.9/(273.15+G74)-4.681*LN(273.15+G74)))/1013)*I74/100*0.2095*((49-1.335*G74+0.02759*POTENZ(G74,2)-0.0003235*POTENZ(G74,3)+0.000001614*POTENZ(G74,4))-($J$16*(5.516*10^-1-1.759*10^-2*G74+2.253*10^-4*POTENZ(G74,2)-2.654*10^-7*POTENZ(G74,3)+5.363*10^-8*POTENZ(G74,4))))*32/22.414</f>
        <v>9.41337387053516</v>
      </c>
      <c r="N74" s="121" t="n">
        <f aca="false">M74*31.25</f>
        <v>294.167933454224</v>
      </c>
    </row>
    <row collapsed="false" customFormat="false" customHeight="false" hidden="false" ht="12.75" outlineLevel="0" r="75">
      <c r="A75" s="120" t="n">
        <v>40402</v>
      </c>
      <c r="B75" s="0" t="s">
        <v>150</v>
      </c>
      <c r="C75" s="0" t="n">
        <v>9.031</v>
      </c>
      <c r="D75" s="0" t="n">
        <v>355.625</v>
      </c>
      <c r="E75" s="0" t="n">
        <v>26.76</v>
      </c>
      <c r="F75" s="0" t="n">
        <v>2639</v>
      </c>
      <c r="G75" s="0" t="n">
        <v>17.6</v>
      </c>
      <c r="I75" s="121" t="n">
        <f aca="false">(-((TAN(E75*PI()/180))/(TAN(($B$7+($B$14*(G75-$E$7)))*PI()/180))*($H$13+($B$15*(G75-$E$8)))+(TAN(E75*PI()/180))/(TAN(($B$7+($B$14*(G75-$E$7)))*PI()/180))*1/$B$16*($H$13+($B$15*(G75-$E$8)))-$B$13*1/$B$16*($H$13+($B$15*(G75-$E$8)))-($H$13+($B$15*(G75-$E$8)))+$B$13*($H$13+($B$15*(G75-$E$8))))+(WURZEL((POTENZ(((TAN(E75*PI()/180))/(TAN(($B$7+($B$14*(G75-$E$7)))*PI()/180))*($H$13+($B$15*(G75-$E$8)))+(TAN(E75*PI()/180))/(TAN(($B$7+($B$14*(G75-$E$7)))*PI()/180))*1/$B$16*($H$13+($B$15*(G75-$E$8)))-$B$13*1/$B$16*($H$13+($B$15*(G75-$E$8)))-($H$13+($B$15*(G75-$E$8)))+$B$13*($H$13+($B$15*(G75-$E$8)))),2))-4*((TAN(E75*PI()/180))/(TAN(($B$7+($B$14*(G75-$E$7)))*PI()/180))*1/$B$16*POTENZ(($H$13+($B$15*(G75-$E$8))),2))*((TAN(E75*PI()/180))/(TAN(($B$7+($B$14*(G75-$E$7)))*PI()/180))-1))))/(2*((TAN(E75*PI()/180))/(TAN(($B$7+($B$14*(G75-$E$7)))*PI()/180))*1/$B$16*POTENZ(($H$13+($B$15*(G75-$E$8))),2)))</f>
        <v>118.855971738178</v>
      </c>
      <c r="J75" s="122" t="n">
        <f aca="false">I75*20.9/100</f>
        <v>24.8408980932793</v>
      </c>
      <c r="K75" s="82" t="n">
        <f aca="false">($B$9-EXP(52.57-6690.9/(273.15+G75)-4.681*LN(273.15+G75)))*I75/100*0.2095</f>
        <v>247.215662400478</v>
      </c>
      <c r="L75" s="82" t="n">
        <f aca="false">K75/1.33322</f>
        <v>185.42750813855</v>
      </c>
      <c r="M75" s="121" t="n">
        <f aca="false">(($B$9-EXP(52.57-6690.9/(273.15+G75)-4.681*LN(273.15+G75)))/1013)*I75/100*0.2095*((49-1.335*G75+0.02759*POTENZ(G75,2)-0.0003235*POTENZ(G75,3)+0.000001614*POTENZ(G75,4))-($J$16*(5.516*10^-1-1.759*10^-2*G75+2.253*10^-4*POTENZ(G75,2)-2.654*10^-7*POTENZ(G75,3)+5.363*10^-8*POTENZ(G75,4))))*32/22.414</f>
        <v>9.34392484787515</v>
      </c>
      <c r="N75" s="121" t="n">
        <f aca="false">M75*31.25</f>
        <v>291.997651496098</v>
      </c>
    </row>
    <row collapsed="false" customFormat="false" customHeight="false" hidden="false" ht="12.75" outlineLevel="0" r="76">
      <c r="A76" s="120" t="n">
        <v>40402</v>
      </c>
      <c r="B76" s="0" t="s">
        <v>151</v>
      </c>
      <c r="C76" s="0" t="n">
        <v>9.198</v>
      </c>
      <c r="D76" s="0" t="n">
        <v>358.268</v>
      </c>
      <c r="E76" s="0" t="n">
        <v>26.68</v>
      </c>
      <c r="F76" s="0" t="n">
        <v>2644</v>
      </c>
      <c r="G76" s="0" t="n">
        <v>17.6</v>
      </c>
      <c r="I76" s="121" t="n">
        <f aca="false">(-((TAN(E76*PI()/180))/(TAN(($B$7+($B$14*(G76-$E$7)))*PI()/180))*($H$13+($B$15*(G76-$E$8)))+(TAN(E76*PI()/180))/(TAN(($B$7+($B$14*(G76-$E$7)))*PI()/180))*1/$B$16*($H$13+($B$15*(G76-$E$8)))-$B$13*1/$B$16*($H$13+($B$15*(G76-$E$8)))-($H$13+($B$15*(G76-$E$8)))+$B$13*($H$13+($B$15*(G76-$E$8))))+(WURZEL((POTENZ(((TAN(E76*PI()/180))/(TAN(($B$7+($B$14*(G76-$E$7)))*PI()/180))*($H$13+($B$15*(G76-$E$8)))+(TAN(E76*PI()/180))/(TAN(($B$7+($B$14*(G76-$E$7)))*PI()/180))*1/$B$16*($H$13+($B$15*(G76-$E$8)))-$B$13*1/$B$16*($H$13+($B$15*(G76-$E$8)))-($H$13+($B$15*(G76-$E$8)))+$B$13*($H$13+($B$15*(G76-$E$8)))),2))-4*((TAN(E76*PI()/180))/(TAN(($B$7+($B$14*(G76-$E$7)))*PI()/180))*1/$B$16*POTENZ(($H$13+($B$15*(G76-$E$8))),2))*((TAN(E76*PI()/180))/(TAN(($B$7+($B$14*(G76-$E$7)))*PI()/180))-1))))/(2*((TAN(E76*PI()/180))/(TAN(($B$7+($B$14*(G76-$E$7)))*PI()/180))*1/$B$16*POTENZ(($H$13+($B$15*(G76-$E$8))),2)))</f>
        <v>119.739372579785</v>
      </c>
      <c r="J76" s="122" t="n">
        <f aca="false">I76*20.9/100</f>
        <v>25.0255288691751</v>
      </c>
      <c r="K76" s="82" t="n">
        <f aca="false">($B$9-EXP(52.57-6690.9/(273.15+G76)-4.681*LN(273.15+G76)))*I76/100*0.2095</f>
        <v>249.053100780974</v>
      </c>
      <c r="L76" s="82" t="n">
        <f aca="false">K76/1.33322</f>
        <v>186.805704070577</v>
      </c>
      <c r="M76" s="121" t="n">
        <f aca="false">(($B$9-EXP(52.57-6690.9/(273.15+G76)-4.681*LN(273.15+G76)))/1013)*I76/100*0.2095*((49-1.335*G76+0.02759*POTENZ(G76,2)-0.0003235*POTENZ(G76,3)+0.000001614*POTENZ(G76,4))-($J$16*(5.516*10^-1-1.759*10^-2*G76+2.253*10^-4*POTENZ(G76,2)-2.654*10^-7*POTENZ(G76,3)+5.363*10^-8*POTENZ(G76,4))))*32/22.414</f>
        <v>9.41337387053516</v>
      </c>
      <c r="N76" s="121" t="n">
        <f aca="false">M76*31.25</f>
        <v>294.167933454224</v>
      </c>
    </row>
    <row collapsed="false" customFormat="false" customHeight="false" hidden="false" ht="12.75" outlineLevel="0" r="77">
      <c r="A77" s="120" t="n">
        <v>40402</v>
      </c>
      <c r="B77" s="0" t="s">
        <v>152</v>
      </c>
      <c r="C77" s="0" t="n">
        <v>9.364</v>
      </c>
      <c r="D77" s="0" t="n">
        <v>354.968</v>
      </c>
      <c r="E77" s="0" t="n">
        <v>26.78</v>
      </c>
      <c r="F77" s="0" t="n">
        <v>2639</v>
      </c>
      <c r="G77" s="0" t="n">
        <v>17.6</v>
      </c>
      <c r="I77" s="121" t="n">
        <f aca="false">(-((TAN(E77*PI()/180))/(TAN(($B$7+($B$14*(G77-$E$7)))*PI()/180))*($H$13+($B$15*(G77-$E$8)))+(TAN(E77*PI()/180))/(TAN(($B$7+($B$14*(G77-$E$7)))*PI()/180))*1/$B$16*($H$13+($B$15*(G77-$E$8)))-$B$13*1/$B$16*($H$13+($B$15*(G77-$E$8)))-($H$13+($B$15*(G77-$E$8)))+$B$13*($H$13+($B$15*(G77-$E$8))))+(WURZEL((POTENZ(((TAN(E77*PI()/180))/(TAN(($B$7+($B$14*(G77-$E$7)))*PI()/180))*($H$13+($B$15*(G77-$E$8)))+(TAN(E77*PI()/180))/(TAN(($B$7+($B$14*(G77-$E$7)))*PI()/180))*1/$B$16*($H$13+($B$15*(G77-$E$8)))-$B$13*1/$B$16*($H$13+($B$15*(G77-$E$8)))-($H$13+($B$15*(G77-$E$8)))+$B$13*($H$13+($B$15*(G77-$E$8)))),2))-4*((TAN(E77*PI()/180))/(TAN(($B$7+($B$14*(G77-$E$7)))*PI()/180))*1/$B$16*POTENZ(($H$13+($B$15*(G77-$E$8))),2))*((TAN(E77*PI()/180))/(TAN(($B$7+($B$14*(G77-$E$7)))*PI()/180))-1))))/(2*((TAN(E77*PI()/180))/(TAN(($B$7+($B$14*(G77-$E$7)))*PI()/180))*1/$B$16*POTENZ(($H$13+($B$15*(G77-$E$8))),2)))</f>
        <v>118.63634723328</v>
      </c>
      <c r="J77" s="122" t="n">
        <f aca="false">I77*20.9/100</f>
        <v>24.7949965717556</v>
      </c>
      <c r="K77" s="82" t="n">
        <f aca="false">($B$9-EXP(52.57-6690.9/(273.15+G77)-4.681*LN(273.15+G77)))*I77/100*0.2095</f>
        <v>246.758852223726</v>
      </c>
      <c r="L77" s="82" t="n">
        <f aca="false">K77/1.33322</f>
        <v>185.084871381862</v>
      </c>
      <c r="M77" s="121" t="n">
        <f aca="false">(($B$9-EXP(52.57-6690.9/(273.15+G77)-4.681*LN(273.15+G77)))/1013)*I77/100*0.2095*((49-1.335*G77+0.02759*POTENZ(G77,2)-0.0003235*POTENZ(G77,3)+0.000001614*POTENZ(G77,4))-($J$16*(5.516*10^-1-1.759*10^-2*G77+2.253*10^-4*POTENZ(G77,2)-2.654*10^-7*POTENZ(G77,3)+5.363*10^-8*POTENZ(G77,4))))*32/22.414</f>
        <v>9.32665895169419</v>
      </c>
      <c r="N77" s="121" t="n">
        <f aca="false">M77*31.25</f>
        <v>291.458092240443</v>
      </c>
    </row>
    <row collapsed="false" customFormat="false" customHeight="false" hidden="false" ht="12.75" outlineLevel="0" r="78">
      <c r="A78" s="120" t="n">
        <v>40402</v>
      </c>
      <c r="B78" s="0" t="s">
        <v>153</v>
      </c>
      <c r="C78" s="0" t="n">
        <v>9.532</v>
      </c>
      <c r="D78" s="0" t="n">
        <v>359.932</v>
      </c>
      <c r="E78" s="0" t="n">
        <v>26.63</v>
      </c>
      <c r="F78" s="0" t="n">
        <v>2641</v>
      </c>
      <c r="G78" s="0" t="n">
        <v>17.6</v>
      </c>
      <c r="I78" s="121" t="n">
        <f aca="false">(-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+(WURZEL((POTENZ(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,2))-4*((TAN(E78*PI()/180))/(TAN(($B$7+($B$14*(G78-$E$7)))*PI()/180))*1/$B$16*POTENZ(($H$13+($B$15*(G78-$E$8))),2))*((TAN(E78*PI()/180))/(TAN(($B$7+($B$14*(G78-$E$7)))*PI()/180))-1))))/(2*((TAN(E78*PI()/180))/(TAN(($B$7+($B$14*(G78-$E$7)))*PI()/180))*1/$B$16*POTENZ(($H$13+($B$15*(G78-$E$8))),2)))</f>
        <v>120.295510149113</v>
      </c>
      <c r="J78" s="122" t="n">
        <f aca="false">I78*20.9/100</f>
        <v>25.1417616211646</v>
      </c>
      <c r="K78" s="82" t="n">
        <f aca="false">($B$9-EXP(52.57-6690.9/(273.15+G78)-4.681*LN(273.15+G78)))*I78/100*0.2095</f>
        <v>250.209844658261</v>
      </c>
      <c r="L78" s="82" t="n">
        <f aca="false">K78/1.33322</f>
        <v>187.673335727232</v>
      </c>
      <c r="M78" s="121" t="n">
        <f aca="false">(($B$9-EXP(52.57-6690.9/(273.15+G78)-4.681*LN(273.15+G78)))/1013)*I78/100*0.2095*((49-1.335*G78+0.02759*POTENZ(G78,2)-0.0003235*POTENZ(G78,3)+0.000001614*POTENZ(G78,4))-($J$16*(5.516*10^-1-1.759*10^-2*G78+2.253*10^-4*POTENZ(G78,2)-2.654*10^-7*POTENZ(G78,3)+5.363*10^-8*POTENZ(G78,4))))*32/22.414</f>
        <v>9.45709491859763</v>
      </c>
      <c r="N78" s="121" t="n">
        <f aca="false">M78*31.25</f>
        <v>295.534216206176</v>
      </c>
    </row>
    <row collapsed="false" customFormat="false" customHeight="false" hidden="false" ht="12.75" outlineLevel="0" r="79">
      <c r="A79" s="120" t="n">
        <v>40402</v>
      </c>
      <c r="B79" s="0" t="s">
        <v>154</v>
      </c>
      <c r="C79" s="0" t="n">
        <v>9.698</v>
      </c>
      <c r="D79" s="0" t="n">
        <v>354.298</v>
      </c>
      <c r="E79" s="0" t="n">
        <v>26.76</v>
      </c>
      <c r="F79" s="0" t="n">
        <v>2641</v>
      </c>
      <c r="G79" s="0" t="n">
        <v>17.7</v>
      </c>
      <c r="I79" s="121" t="n">
        <f aca="false">(-((TAN(E79*PI()/180))/(TAN(($B$7+($B$14*(G79-$E$7)))*PI()/180))*($H$13+($B$15*(G79-$E$8)))+(TAN(E79*PI()/180))/(TAN(($B$7+($B$14*(G79-$E$7)))*PI()/180))*1/$B$16*($H$13+($B$15*(G79-$E$8)))-$B$13*1/$B$16*($H$13+($B$15*(G79-$E$8)))-($H$13+($B$15*(G79-$E$8)))+$B$13*($H$13+($B$15*(G79-$E$8))))+(WURZEL((POTENZ(((TAN(E79*PI()/180))/(TAN(($B$7+($B$14*(G79-$E$7)))*PI()/180))*($H$13+($B$15*(G79-$E$8)))+(TAN(E79*PI()/180))/(TAN(($B$7+($B$14*(G79-$E$7)))*PI()/180))*1/$B$16*($H$13+($B$15*(G79-$E$8)))-$B$13*1/$B$16*($H$13+($B$15*(G79-$E$8)))-($H$13+($B$15*(G79-$E$8)))+$B$13*($H$13+($B$15*(G79-$E$8)))),2))-4*((TAN(E79*PI()/180))/(TAN(($B$7+($B$14*(G79-$E$7)))*PI()/180))*1/$B$16*POTENZ(($H$13+($B$15*(G79-$E$8))),2))*((TAN(E79*PI()/180))/(TAN(($B$7+($B$14*(G79-$E$7)))*PI()/180))-1))))/(2*((TAN(E79*PI()/180))/(TAN(($B$7+($B$14*(G79-$E$7)))*PI()/180))*1/$B$16*POTENZ(($H$13+($B$15*(G79-$E$8))),2)))</f>
        <v>118.656444944802</v>
      </c>
      <c r="J79" s="122" t="n">
        <f aca="false">I79*20.9/100</f>
        <v>24.7991969934637</v>
      </c>
      <c r="K79" s="82" t="n">
        <f aca="false">($B$9-EXP(52.57-6690.9/(273.15+G79)-4.681*LN(273.15+G79)))*I79/100*0.2095</f>
        <v>246.768940312502</v>
      </c>
      <c r="L79" s="82" t="n">
        <f aca="false">K79/1.33322</f>
        <v>185.092438091615</v>
      </c>
      <c r="M79" s="121" t="n">
        <f aca="false">(($B$9-EXP(52.57-6690.9/(273.15+G79)-4.681*LN(273.15+G79)))/1013)*I79/100*0.2095*((49-1.335*G79+0.02759*POTENZ(G79,2)-0.0003235*POTENZ(G79,3)+0.000001614*POTENZ(G79,4))-($J$16*(5.516*10^-1-1.759*10^-2*G79+2.253*10^-4*POTENZ(G79,2)-2.654*10^-7*POTENZ(G79,3)+5.363*10^-8*POTENZ(G79,4))))*32/22.414</f>
        <v>9.31059853072305</v>
      </c>
      <c r="N79" s="121" t="n">
        <f aca="false">M79*31.25</f>
        <v>290.956204085095</v>
      </c>
    </row>
    <row collapsed="false" customFormat="false" customHeight="false" hidden="false" ht="12.75" outlineLevel="0" r="80">
      <c r="A80" s="120" t="n">
        <v>40402</v>
      </c>
      <c r="B80" s="0" t="s">
        <v>155</v>
      </c>
      <c r="C80" s="0" t="n">
        <v>9.865</v>
      </c>
      <c r="D80" s="0" t="n">
        <v>356.271</v>
      </c>
      <c r="E80" s="0" t="n">
        <v>26.7</v>
      </c>
      <c r="F80" s="0" t="n">
        <v>2640</v>
      </c>
      <c r="G80" s="0" t="n">
        <v>17.7</v>
      </c>
      <c r="I80" s="121" t="n">
        <f aca="false">(-((TAN(E80*PI()/180))/(TAN(($B$7+($B$14*(G80-$E$7)))*PI()/180))*($H$13+($B$15*(G80-$E$8)))+(TAN(E80*PI()/180))/(TAN(($B$7+($B$14*(G80-$E$7)))*PI()/180))*1/$B$16*($H$13+($B$15*(G80-$E$8)))-$B$13*1/$B$16*($H$13+($B$15*(G80-$E$8)))-($H$13+($B$15*(G80-$E$8)))+$B$13*($H$13+($B$15*(G80-$E$8))))+(WURZEL((POTENZ(((TAN(E80*PI()/180))/(TAN(($B$7+($B$14*(G80-$E$7)))*PI()/180))*($H$13+($B$15*(G80-$E$8)))+(TAN(E80*PI()/180))/(TAN(($B$7+($B$14*(G80-$E$7)))*PI()/180))*1/$B$16*($H$13+($B$15*(G80-$E$8)))-$B$13*1/$B$16*($H$13+($B$15*(G80-$E$8)))-($H$13+($B$15*(G80-$E$8)))+$B$13*($H$13+($B$15*(G80-$E$8)))),2))-4*((TAN(E80*PI()/180))/(TAN(($B$7+($B$14*(G80-$E$7)))*PI()/180))*1/$B$16*POTENZ(($H$13+($B$15*(G80-$E$8))),2))*((TAN(E80*PI()/180))/(TAN(($B$7+($B$14*(G80-$E$7)))*PI()/180))-1))))/(2*((TAN(E80*PI()/180))/(TAN(($B$7+($B$14*(G80-$E$7)))*PI()/180))*1/$B$16*POTENZ(($H$13+($B$15*(G80-$E$8))),2)))</f>
        <v>119.317180259611</v>
      </c>
      <c r="J80" s="122" t="n">
        <f aca="false">I80*20.9/100</f>
        <v>24.9372906742587</v>
      </c>
      <c r="K80" s="82" t="n">
        <f aca="false">($B$9-EXP(52.57-6690.9/(273.15+G80)-4.681*LN(273.15+G80)))*I80/100*0.2095</f>
        <v>248.143066711943</v>
      </c>
      <c r="L80" s="82" t="n">
        <f aca="false">K80/1.33322</f>
        <v>186.1231204992</v>
      </c>
      <c r="M80" s="121" t="n">
        <f aca="false">(($B$9-EXP(52.57-6690.9/(273.15+G80)-4.681*LN(273.15+G80)))/1013)*I80/100*0.2095*((49-1.335*G80+0.02759*POTENZ(G80,2)-0.0003235*POTENZ(G80,3)+0.000001614*POTENZ(G80,4))-($J$16*(5.516*10^-1-1.759*10^-2*G80+2.253*10^-4*POTENZ(G80,2)-2.654*10^-7*POTENZ(G80,3)+5.363*10^-8*POTENZ(G80,4))))*32/22.414</f>
        <v>9.36244435548307</v>
      </c>
      <c r="N80" s="121" t="n">
        <f aca="false">M80*31.25</f>
        <v>292.576386108846</v>
      </c>
    </row>
    <row collapsed="false" customFormat="false" customHeight="false" hidden="false" ht="12.75" outlineLevel="0" r="81">
      <c r="A81" s="120" t="n">
        <v>40402</v>
      </c>
      <c r="B81" s="0" t="s">
        <v>156</v>
      </c>
      <c r="C81" s="0" t="n">
        <v>10.032</v>
      </c>
      <c r="D81" s="0" t="n">
        <v>361.933</v>
      </c>
      <c r="E81" s="0" t="n">
        <v>26.53</v>
      </c>
      <c r="F81" s="0" t="n">
        <v>2643</v>
      </c>
      <c r="G81" s="0" t="n">
        <v>17.7</v>
      </c>
      <c r="I81" s="121" t="n">
        <f aca="false">(-((TAN(E81*PI()/180))/(TAN(($B$7+($B$14*(G81-$E$7)))*PI()/180))*($H$13+($B$15*(G81-$E$8)))+(TAN(E81*PI()/180))/(TAN(($B$7+($B$14*(G81-$E$7)))*PI()/180))*1/$B$16*($H$13+($B$15*(G81-$E$8)))-$B$13*1/$B$16*($H$13+($B$15*(G81-$E$8)))-($H$13+($B$15*(G81-$E$8)))+$B$13*($H$13+($B$15*(G81-$E$8))))+(WURZEL((POTENZ(((TAN(E81*PI()/180))/(TAN(($B$7+($B$14*(G81-$E$7)))*PI()/180))*($H$13+($B$15*(G81-$E$8)))+(TAN(E81*PI()/180))/(TAN(($B$7+($B$14*(G81-$E$7)))*PI()/180))*1/$B$16*($H$13+($B$15*(G81-$E$8)))-$B$13*1/$B$16*($H$13+($B$15*(G81-$E$8)))-($H$13+($B$15*(G81-$E$8)))+$B$13*($H$13+($B$15*(G81-$E$8)))),2))-4*((TAN(E81*PI()/180))/(TAN(($B$7+($B$14*(G81-$E$7)))*PI()/180))*1/$B$16*POTENZ(($H$13+($B$15*(G81-$E$8))),2))*((TAN(E81*PI()/180))/(TAN(($B$7+($B$14*(G81-$E$7)))*PI()/180))-1))))/(2*((TAN(E81*PI()/180))/(TAN(($B$7+($B$14*(G81-$E$7)))*PI()/180))*1/$B$16*POTENZ(($H$13+($B$15*(G81-$E$8))),2)))</f>
        <v>121.21345163364</v>
      </c>
      <c r="J81" s="122" t="n">
        <f aca="false">I81*20.9/100</f>
        <v>25.3336113914307</v>
      </c>
      <c r="K81" s="82" t="n">
        <f aca="false">($B$9-EXP(52.57-6690.9/(273.15+G81)-4.681*LN(273.15+G81)))*I81/100*0.2095</f>
        <v>252.086728413013</v>
      </c>
      <c r="L81" s="82" t="n">
        <f aca="false">K81/1.33322</f>
        <v>189.081118204807</v>
      </c>
      <c r="M81" s="121" t="n">
        <f aca="false">(($B$9-EXP(52.57-6690.9/(273.15+G81)-4.681*LN(273.15+G81)))/1013)*I81/100*0.2095*((49-1.335*G81+0.02759*POTENZ(G81,2)-0.0003235*POTENZ(G81,3)+0.000001614*POTENZ(G81,4))-($J$16*(5.516*10^-1-1.759*10^-2*G81+2.253*10^-4*POTENZ(G81,2)-2.654*10^-7*POTENZ(G81,3)+5.363*10^-8*POTENZ(G81,4))))*32/22.414</f>
        <v>9.51123881394754</v>
      </c>
      <c r="N81" s="121" t="n">
        <f aca="false">M81*31.25</f>
        <v>297.226212935861</v>
      </c>
    </row>
    <row collapsed="false" customFormat="false" customHeight="false" hidden="false" ht="12.75" outlineLevel="0" r="82">
      <c r="A82" s="120" t="n">
        <v>40402</v>
      </c>
      <c r="B82" s="0" t="s">
        <v>157</v>
      </c>
      <c r="C82" s="0" t="n">
        <v>10.199</v>
      </c>
      <c r="D82" s="0" t="n">
        <v>359.922</v>
      </c>
      <c r="E82" s="0" t="n">
        <v>26.59</v>
      </c>
      <c r="F82" s="0" t="n">
        <v>2642</v>
      </c>
      <c r="G82" s="0" t="n">
        <v>17.7</v>
      </c>
      <c r="I82" s="121" t="n">
        <f aca="false">(-((TAN(E82*PI()/180))/(TAN(($B$7+($B$14*(G82-$E$7)))*PI()/180))*($H$13+($B$15*(G82-$E$8)))+(TAN(E82*PI()/180))/(TAN(($B$7+($B$14*(G82-$E$7)))*PI()/180))*1/$B$16*($H$13+($B$15*(G82-$E$8)))-$B$13*1/$B$16*($H$13+($B$15*(G82-$E$8)))-($H$13+($B$15*(G82-$E$8)))+$B$13*($H$13+($B$15*(G82-$E$8))))+(WURZEL((POTENZ(((TAN(E82*PI()/180))/(TAN(($B$7+($B$14*(G82-$E$7)))*PI()/180))*($H$13+($B$15*(G82-$E$8)))+(TAN(E82*PI()/180))/(TAN(($B$7+($B$14*(G82-$E$7)))*PI()/180))*1/$B$16*($H$13+($B$15*(G82-$E$8)))-$B$13*1/$B$16*($H$13+($B$15*(G82-$E$8)))-($H$13+($B$15*(G82-$E$8)))+$B$13*($H$13+($B$15*(G82-$E$8)))),2))-4*((TAN(E82*PI()/180))/(TAN(($B$7+($B$14*(G82-$E$7)))*PI()/180))*1/$B$16*POTENZ(($H$13+($B$15*(G82-$E$8))),2))*((TAN(E82*PI()/180))/(TAN(($B$7+($B$14*(G82-$E$7)))*PI()/180))-1))))/(2*((TAN(E82*PI()/180))/(TAN(($B$7+($B$14*(G82-$E$7)))*PI()/180))*1/$B$16*POTENZ(($H$13+($B$15*(G82-$E$8))),2)))</f>
        <v>120.540063395751</v>
      </c>
      <c r="J82" s="122" t="n">
        <f aca="false">I82*20.9/100</f>
        <v>25.1928732497119</v>
      </c>
      <c r="K82" s="82" t="n">
        <f aca="false">($B$9-EXP(52.57-6690.9/(273.15+G82)-4.681*LN(273.15+G82)))*I82/100*0.2095</f>
        <v>250.686287822027</v>
      </c>
      <c r="L82" s="82" t="n">
        <f aca="false">K82/1.33322</f>
        <v>188.030698475891</v>
      </c>
      <c r="M82" s="121" t="n">
        <f aca="false">(($B$9-EXP(52.57-6690.9/(273.15+G82)-4.681*LN(273.15+G82)))/1013)*I82/100*0.2095*((49-1.335*G82+0.02759*POTENZ(G82,2)-0.0003235*POTENZ(G82,3)+0.000001614*POTENZ(G82,4))-($J$16*(5.516*10^-1-1.759*10^-2*G82+2.253*10^-4*POTENZ(G82,2)-2.654*10^-7*POTENZ(G82,3)+5.363*10^-8*POTENZ(G82,4))))*32/22.414</f>
        <v>9.4584001540567</v>
      </c>
      <c r="N82" s="121" t="n">
        <f aca="false">M82*31.25</f>
        <v>295.575004814272</v>
      </c>
    </row>
    <row collapsed="false" customFormat="false" customHeight="false" hidden="false" ht="12.75" outlineLevel="0" r="83">
      <c r="A83" s="120" t="n">
        <v>40402</v>
      </c>
      <c r="B83" s="0" t="s">
        <v>158</v>
      </c>
      <c r="C83" s="0" t="n">
        <v>10.366</v>
      </c>
      <c r="D83" s="0" t="n">
        <v>358.589</v>
      </c>
      <c r="E83" s="0" t="n">
        <v>26.63</v>
      </c>
      <c r="F83" s="0" t="n">
        <v>2641</v>
      </c>
      <c r="G83" s="0" t="n">
        <v>17.7</v>
      </c>
      <c r="I83" s="121" t="n">
        <f aca="false">(-((TAN(E83*PI()/180))/(TAN(($B$7+($B$14*(G83-$E$7)))*PI()/180))*($H$13+($B$15*(G83-$E$8)))+(TAN(E83*PI()/180))/(TAN(($B$7+($B$14*(G83-$E$7)))*PI()/180))*1/$B$16*($H$13+($B$15*(G83-$E$8)))-$B$13*1/$B$16*($H$13+($B$15*(G83-$E$8)))-($H$13+($B$15*(G83-$E$8)))+$B$13*($H$13+($B$15*(G83-$E$8))))+(WURZEL((POTENZ(((TAN(E83*PI()/180))/(TAN(($B$7+($B$14*(G83-$E$7)))*PI()/180))*($H$13+($B$15*(G83-$E$8)))+(TAN(E83*PI()/180))/(TAN(($B$7+($B$14*(G83-$E$7)))*PI()/180))*1/$B$16*($H$13+($B$15*(G83-$E$8)))-$B$13*1/$B$16*($H$13+($B$15*(G83-$E$8)))-($H$13+($B$15*(G83-$E$8)))+$B$13*($H$13+($B$15*(G83-$E$8)))),2))-4*((TAN(E83*PI()/180))/(TAN(($B$7+($B$14*(G83-$E$7)))*PI()/180))*1/$B$16*POTENZ(($H$13+($B$15*(G83-$E$8))),2))*((TAN(E83*PI()/180))/(TAN(($B$7+($B$14*(G83-$E$7)))*PI()/180))-1))))/(2*((TAN(E83*PI()/180))/(TAN(($B$7+($B$14*(G83-$E$7)))*PI()/180))*1/$B$16*POTENZ(($H$13+($B$15*(G83-$E$8))),2)))</f>
        <v>120.093640746972</v>
      </c>
      <c r="J83" s="122" t="n">
        <f aca="false">I83*20.9/100</f>
        <v>25.0995709161171</v>
      </c>
      <c r="K83" s="82" t="n">
        <f aca="false">($B$9-EXP(52.57-6690.9/(273.15+G83)-4.681*LN(273.15+G83)))*I83/100*0.2095</f>
        <v>249.757865905949</v>
      </c>
      <c r="L83" s="82" t="n">
        <f aca="false">K83/1.33322</f>
        <v>187.334322846904</v>
      </c>
      <c r="M83" s="121" t="n">
        <f aca="false">(($B$9-EXP(52.57-6690.9/(273.15+G83)-4.681*LN(273.15+G83)))/1013)*I83/100*0.2095*((49-1.335*G83+0.02759*POTENZ(G83,2)-0.0003235*POTENZ(G83,3)+0.000001614*POTENZ(G83,4))-($J$16*(5.516*10^-1-1.759*10^-2*G83+2.253*10^-4*POTENZ(G83,2)-2.654*10^-7*POTENZ(G83,3)+5.363*10^-8*POTENZ(G83,4))))*32/22.414</f>
        <v>9.42337077103638</v>
      </c>
      <c r="N83" s="121" t="n">
        <f aca="false">M83*31.25</f>
        <v>294.480336594887</v>
      </c>
    </row>
  </sheetData>
  <mergeCells count="4">
    <mergeCell ref="A3:J3"/>
    <mergeCell ref="A4:J4"/>
    <mergeCell ref="P14:Q14"/>
    <mergeCell ref="P22:S22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2.75"/>
  <sheetData/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2005-07-08T09:28:11.00Z</dcterms:created>
  <dc:creator>Christian Huber</dc:creator>
  <cp:lastModifiedBy>Mark Olischläger</cp:lastModifiedBy>
  <dcterms:modified xsi:type="dcterms:W3CDTF">2013-09-24T16:52:44.00Z</dcterms:modified>
  <cp:revision>0</cp:revision>
</cp:coreProperties>
</file>